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0" windowHeight="1185"/>
  </bookViews>
  <sheets>
    <sheet name="Смета по ФСНБ 421+557прРИМ" sheetId="6" r:id="rId1"/>
    <sheet name="Акт КС-2 по ФСНБ 421+557пр" sheetId="7" state="hidden" r:id="rId2"/>
    <sheet name="Макет форма-3" sheetId="8" state="hidden" r:id="rId3"/>
    <sheet name="Source" sheetId="1" state="hidden" r:id="rId4"/>
    <sheet name="SourceObSm" sheetId="2" state="hidden" r:id="rId5"/>
    <sheet name="SmtRes" sheetId="3" state="hidden" r:id="rId6"/>
    <sheet name="EtalonRes" sheetId="4" state="hidden" r:id="rId7"/>
    <sheet name="SrcKA" sheetId="5" state="hidden" r:id="rId8"/>
  </sheets>
  <definedNames>
    <definedName name="_xlnm.Print_Titles" localSheetId="1">'Акт КС-2 по ФСНБ 421+557пр'!$37:$37</definedName>
    <definedName name="_xlnm.Print_Titles" localSheetId="0">'Смета по ФСНБ 421+557прРИМ'!$51:$51</definedName>
    <definedName name="_xlnm.Print_Area" localSheetId="1">'Акт КС-2 по ФСНБ 421+557пр'!$A$1:$M$729</definedName>
    <definedName name="_xlnm.Print_Area" localSheetId="0">'Смета по ФСНБ 421+557прРИМ'!$A$1:$L$740</definedName>
  </definedNames>
  <calcPr calcId="125725" iterate="1"/>
</workbook>
</file>

<file path=xl/calcChain.xml><?xml version="1.0" encoding="utf-8"?>
<calcChain xmlns="http://schemas.openxmlformats.org/spreadsheetml/2006/main">
  <c r="A1" i="8"/>
  <c r="I726" i="7"/>
  <c r="I723"/>
  <c r="D726"/>
  <c r="D723"/>
  <c r="M720"/>
  <c r="D720"/>
  <c r="M719"/>
  <c r="D719"/>
  <c r="M715"/>
  <c r="M714"/>
  <c r="M711"/>
  <c r="M710"/>
  <c r="M708" s="1"/>
  <c r="M704"/>
  <c r="M703"/>
  <c r="M699"/>
  <c r="M684"/>
  <c r="M683"/>
  <c r="M679"/>
  <c r="M668"/>
  <c r="M663"/>
  <c r="M662"/>
  <c r="M660" s="1"/>
  <c r="M655"/>
  <c r="M654"/>
  <c r="M650"/>
  <c r="M635"/>
  <c r="M634"/>
  <c r="M630"/>
  <c r="M616"/>
  <c r="D616"/>
  <c r="M615"/>
  <c r="D615"/>
  <c r="M611"/>
  <c r="M610"/>
  <c r="M607"/>
  <c r="M605"/>
  <c r="M604"/>
  <c r="M602" s="1"/>
  <c r="M598"/>
  <c r="M597"/>
  <c r="M593"/>
  <c r="AW583"/>
  <c r="AT583"/>
  <c r="AO583"/>
  <c r="AE583"/>
  <c r="AD583"/>
  <c r="CB583"/>
  <c r="CC583"/>
  <c r="H582"/>
  <c r="F582"/>
  <c r="H581"/>
  <c r="F581"/>
  <c r="M578"/>
  <c r="K578"/>
  <c r="H578"/>
  <c r="M577"/>
  <c r="M576" s="1"/>
  <c r="K577"/>
  <c r="H577"/>
  <c r="F575"/>
  <c r="H575"/>
  <c r="E575"/>
  <c r="D575"/>
  <c r="AW574"/>
  <c r="AT574"/>
  <c r="AO574"/>
  <c r="AE574"/>
  <c r="AD574"/>
  <c r="CB574"/>
  <c r="CC574"/>
  <c r="H573"/>
  <c r="F573"/>
  <c r="H572"/>
  <c r="F572"/>
  <c r="M569"/>
  <c r="K569"/>
  <c r="H569"/>
  <c r="M568"/>
  <c r="M567" s="1"/>
  <c r="K568"/>
  <c r="H568"/>
  <c r="F566"/>
  <c r="H566"/>
  <c r="E566"/>
  <c r="D566"/>
  <c r="AW565"/>
  <c r="AT565"/>
  <c r="AO565"/>
  <c r="AE565"/>
  <c r="AD565"/>
  <c r="CB565"/>
  <c r="CC565"/>
  <c r="H564"/>
  <c r="F564"/>
  <c r="H563"/>
  <c r="F563"/>
  <c r="M560"/>
  <c r="K560"/>
  <c r="H560"/>
  <c r="M559"/>
  <c r="M558" s="1"/>
  <c r="K559"/>
  <c r="H559"/>
  <c r="F557"/>
  <c r="H557"/>
  <c r="E557"/>
  <c r="D557"/>
  <c r="AW556"/>
  <c r="M596" s="1"/>
  <c r="M594" s="1"/>
  <c r="AT556"/>
  <c r="M678" s="1"/>
  <c r="AO556"/>
  <c r="M676" s="1"/>
  <c r="AE556"/>
  <c r="AD556"/>
  <c r="CB556"/>
  <c r="CC556"/>
  <c r="H555"/>
  <c r="F555"/>
  <c r="H554"/>
  <c r="F554"/>
  <c r="M551"/>
  <c r="K551"/>
  <c r="H551"/>
  <c r="M550"/>
  <c r="K550"/>
  <c r="H550"/>
  <c r="M549"/>
  <c r="M548" s="1"/>
  <c r="K549"/>
  <c r="H549"/>
  <c r="F547"/>
  <c r="H547"/>
  <c r="E547"/>
  <c r="D547"/>
  <c r="M544"/>
  <c r="D544"/>
  <c r="M543"/>
  <c r="D543"/>
  <c r="H541"/>
  <c r="H540"/>
  <c r="M539"/>
  <c r="M538"/>
  <c r="M535"/>
  <c r="M533"/>
  <c r="M532"/>
  <c r="M530" s="1"/>
  <c r="M526"/>
  <c r="M525"/>
  <c r="M521"/>
  <c r="AW511"/>
  <c r="AT511"/>
  <c r="AR511"/>
  <c r="AO511"/>
  <c r="AN511"/>
  <c r="BA511"/>
  <c r="AZ511"/>
  <c r="AE511"/>
  <c r="AD511"/>
  <c r="M510"/>
  <c r="L511" s="1"/>
  <c r="J511" s="1"/>
  <c r="I510"/>
  <c r="F510"/>
  <c r="H510"/>
  <c r="E510"/>
  <c r="D510"/>
  <c r="C510"/>
  <c r="AW509"/>
  <c r="AT509"/>
  <c r="AR509"/>
  <c r="AO509"/>
  <c r="AN509"/>
  <c r="BA509"/>
  <c r="AZ509"/>
  <c r="AE509"/>
  <c r="AD509"/>
  <c r="M508"/>
  <c r="L509" s="1"/>
  <c r="J509" s="1"/>
  <c r="I508"/>
  <c r="F508"/>
  <c r="H508"/>
  <c r="E508"/>
  <c r="D508"/>
  <c r="C508"/>
  <c r="AW507"/>
  <c r="AT507"/>
  <c r="AR507"/>
  <c r="AO507"/>
  <c r="AN507"/>
  <c r="BA507"/>
  <c r="AZ507"/>
  <c r="AE507"/>
  <c r="AD507"/>
  <c r="M506"/>
  <c r="L507" s="1"/>
  <c r="J507" s="1"/>
  <c r="I506"/>
  <c r="F506"/>
  <c r="H506"/>
  <c r="E506"/>
  <c r="D506"/>
  <c r="C506"/>
  <c r="AW505"/>
  <c r="AT505"/>
  <c r="AR505"/>
  <c r="AO505"/>
  <c r="AN505"/>
  <c r="BA505"/>
  <c r="AZ505"/>
  <c r="AE505"/>
  <c r="AD505"/>
  <c r="M504"/>
  <c r="L505" s="1"/>
  <c r="J505" s="1"/>
  <c r="I504"/>
  <c r="F504"/>
  <c r="H504"/>
  <c r="E504"/>
  <c r="D504"/>
  <c r="C504"/>
  <c r="AW503"/>
  <c r="AT503"/>
  <c r="AR503"/>
  <c r="AO503"/>
  <c r="AN503"/>
  <c r="BA503"/>
  <c r="AZ503"/>
  <c r="AE503"/>
  <c r="AD503"/>
  <c r="M502"/>
  <c r="L503" s="1"/>
  <c r="J503" s="1"/>
  <c r="I502"/>
  <c r="F502"/>
  <c r="H502"/>
  <c r="E502"/>
  <c r="D502"/>
  <c r="C502"/>
  <c r="AW501"/>
  <c r="AT501"/>
  <c r="AR501"/>
  <c r="AO501"/>
  <c r="AN501"/>
  <c r="BA501"/>
  <c r="AZ501"/>
  <c r="AE501"/>
  <c r="AD501"/>
  <c r="M500"/>
  <c r="L501" s="1"/>
  <c r="J501" s="1"/>
  <c r="I500"/>
  <c r="F500"/>
  <c r="H500"/>
  <c r="E500"/>
  <c r="D500"/>
  <c r="C500"/>
  <c r="AW499"/>
  <c r="AT499"/>
  <c r="AR499"/>
  <c r="AO499"/>
  <c r="AN499"/>
  <c r="BA499"/>
  <c r="AZ499"/>
  <c r="AE499"/>
  <c r="AD499"/>
  <c r="M498"/>
  <c r="L499" s="1"/>
  <c r="J499" s="1"/>
  <c r="I498"/>
  <c r="F498"/>
  <c r="H498"/>
  <c r="E498"/>
  <c r="D498"/>
  <c r="C498"/>
  <c r="AW497"/>
  <c r="AT497"/>
  <c r="AR497"/>
  <c r="AO497"/>
  <c r="AN497"/>
  <c r="BA497"/>
  <c r="AZ497"/>
  <c r="AE497"/>
  <c r="AD497"/>
  <c r="M496"/>
  <c r="L497" s="1"/>
  <c r="J497" s="1"/>
  <c r="I496"/>
  <c r="F496"/>
  <c r="H496"/>
  <c r="E496"/>
  <c r="D496"/>
  <c r="C496"/>
  <c r="AW495"/>
  <c r="M524" s="1"/>
  <c r="M522" s="1"/>
  <c r="AT495"/>
  <c r="M520" s="1"/>
  <c r="AR495"/>
  <c r="M515" s="1"/>
  <c r="M513" s="1"/>
  <c r="AO495"/>
  <c r="M518" s="1"/>
  <c r="M516" s="1"/>
  <c r="AN495"/>
  <c r="BA495"/>
  <c r="M529" s="1"/>
  <c r="AZ495"/>
  <c r="M528" s="1"/>
  <c r="AE495"/>
  <c r="AD495"/>
  <c r="M494"/>
  <c r="L495" s="1"/>
  <c r="J495" s="1"/>
  <c r="I494"/>
  <c r="F494"/>
  <c r="H494"/>
  <c r="E494"/>
  <c r="D494"/>
  <c r="C494"/>
  <c r="M491"/>
  <c r="D491"/>
  <c r="M490"/>
  <c r="D490"/>
  <c r="M486"/>
  <c r="M485"/>
  <c r="M482"/>
  <c r="M480"/>
  <c r="M479"/>
  <c r="M477" s="1"/>
  <c r="M473"/>
  <c r="M472"/>
  <c r="M468"/>
  <c r="AE458"/>
  <c r="AD458"/>
  <c r="H457"/>
  <c r="F457"/>
  <c r="H456"/>
  <c r="F456"/>
  <c r="BA454"/>
  <c r="AZ454"/>
  <c r="AE454"/>
  <c r="AD454"/>
  <c r="F454"/>
  <c r="H454"/>
  <c r="E454"/>
  <c r="D454"/>
  <c r="C454"/>
  <c r="M452"/>
  <c r="J452"/>
  <c r="I452"/>
  <c r="K452" s="1"/>
  <c r="H452"/>
  <c r="M451"/>
  <c r="M450" s="1"/>
  <c r="AW458" s="1"/>
  <c r="J451"/>
  <c r="I451"/>
  <c r="K451" s="1"/>
  <c r="H451"/>
  <c r="M449"/>
  <c r="K449"/>
  <c r="H449"/>
  <c r="M448"/>
  <c r="M444" s="1"/>
  <c r="K448"/>
  <c r="H448"/>
  <c r="F448"/>
  <c r="M447"/>
  <c r="K447"/>
  <c r="H447"/>
  <c r="M446"/>
  <c r="K446"/>
  <c r="H446"/>
  <c r="F446"/>
  <c r="M445"/>
  <c r="K445"/>
  <c r="H445"/>
  <c r="M441"/>
  <c r="AR458" s="1"/>
  <c r="M442"/>
  <c r="K442"/>
  <c r="H442"/>
  <c r="D440"/>
  <c r="F439"/>
  <c r="H439"/>
  <c r="E439"/>
  <c r="D439"/>
  <c r="AE438"/>
  <c r="AD438"/>
  <c r="H437"/>
  <c r="F437"/>
  <c r="H436"/>
  <c r="F436"/>
  <c r="BA434"/>
  <c r="AZ434"/>
  <c r="AE434"/>
  <c r="AD434"/>
  <c r="F434"/>
  <c r="H434"/>
  <c r="E434"/>
  <c r="D434"/>
  <c r="C434"/>
  <c r="M432"/>
  <c r="J432"/>
  <c r="I432"/>
  <c r="K432" s="1"/>
  <c r="H432"/>
  <c r="M431"/>
  <c r="J431"/>
  <c r="I431"/>
  <c r="K431" s="1"/>
  <c r="H431"/>
  <c r="M430"/>
  <c r="M429" s="1"/>
  <c r="AW438" s="1"/>
  <c r="J430"/>
  <c r="I430"/>
  <c r="K430" s="1"/>
  <c r="H430"/>
  <c r="M428"/>
  <c r="K428"/>
  <c r="H428"/>
  <c r="F428"/>
  <c r="M427"/>
  <c r="K427"/>
  <c r="H427"/>
  <c r="M426"/>
  <c r="J426"/>
  <c r="I426"/>
  <c r="K426" s="1"/>
  <c r="H426"/>
  <c r="M425"/>
  <c r="J425"/>
  <c r="I425"/>
  <c r="K425" s="1"/>
  <c r="H425"/>
  <c r="M424"/>
  <c r="M422" s="1"/>
  <c r="K424"/>
  <c r="H424"/>
  <c r="F424"/>
  <c r="M423"/>
  <c r="K423"/>
  <c r="H423"/>
  <c r="M420"/>
  <c r="M419" s="1"/>
  <c r="K420"/>
  <c r="H420"/>
  <c r="D418"/>
  <c r="F417"/>
  <c r="H417"/>
  <c r="E417"/>
  <c r="D417"/>
  <c r="AT416"/>
  <c r="AO416"/>
  <c r="AE416"/>
  <c r="AD416"/>
  <c r="H415"/>
  <c r="F415"/>
  <c r="H414"/>
  <c r="F414"/>
  <c r="BA412"/>
  <c r="AZ412"/>
  <c r="AE412"/>
  <c r="AD412"/>
  <c r="F412"/>
  <c r="H412"/>
  <c r="E412"/>
  <c r="D412"/>
  <c r="C412"/>
  <c r="M410"/>
  <c r="J410"/>
  <c r="I410"/>
  <c r="K410" s="1"/>
  <c r="H410"/>
  <c r="M409"/>
  <c r="M408" s="1"/>
  <c r="AW416" s="1"/>
  <c r="K409"/>
  <c r="H409"/>
  <c r="M407"/>
  <c r="M406" s="1"/>
  <c r="K407"/>
  <c r="H407"/>
  <c r="D405"/>
  <c r="F404"/>
  <c r="H404"/>
  <c r="E404"/>
  <c r="D404"/>
  <c r="AE403"/>
  <c r="AD403"/>
  <c r="H402"/>
  <c r="F402"/>
  <c r="H401"/>
  <c r="F401"/>
  <c r="BA399"/>
  <c r="AZ399"/>
  <c r="AE399"/>
  <c r="AD399"/>
  <c r="F399"/>
  <c r="H399"/>
  <c r="E399"/>
  <c r="D399"/>
  <c r="C399"/>
  <c r="M397"/>
  <c r="J397"/>
  <c r="I397"/>
  <c r="K397" s="1"/>
  <c r="H397"/>
  <c r="M396"/>
  <c r="J396"/>
  <c r="I396"/>
  <c r="K396" s="1"/>
  <c r="H396"/>
  <c r="M395"/>
  <c r="J395"/>
  <c r="I395"/>
  <c r="K395" s="1"/>
  <c r="H395"/>
  <c r="M394"/>
  <c r="J394"/>
  <c r="I394"/>
  <c r="K394" s="1"/>
  <c r="H394"/>
  <c r="M393"/>
  <c r="J393"/>
  <c r="I393"/>
  <c r="K393" s="1"/>
  <c r="H393"/>
  <c r="M392"/>
  <c r="J392"/>
  <c r="I392"/>
  <c r="K392" s="1"/>
  <c r="H392"/>
  <c r="M391"/>
  <c r="J391"/>
  <c r="I391"/>
  <c r="K391" s="1"/>
  <c r="H391"/>
  <c r="M390"/>
  <c r="J390"/>
  <c r="I390"/>
  <c r="K390" s="1"/>
  <c r="H390"/>
  <c r="M389"/>
  <c r="J389"/>
  <c r="I389"/>
  <c r="K389" s="1"/>
  <c r="H389"/>
  <c r="M388"/>
  <c r="K388"/>
  <c r="H388"/>
  <c r="M387"/>
  <c r="J387"/>
  <c r="I387"/>
  <c r="K387" s="1"/>
  <c r="H387"/>
  <c r="M386"/>
  <c r="M385" s="1"/>
  <c r="AW403" s="1"/>
  <c r="J386"/>
  <c r="I386"/>
  <c r="K386" s="1"/>
  <c r="H386"/>
  <c r="M383"/>
  <c r="AT403" s="1"/>
  <c r="M384"/>
  <c r="M382" s="1"/>
  <c r="AO403" s="1"/>
  <c r="K384"/>
  <c r="H384"/>
  <c r="M380"/>
  <c r="AR403" s="1"/>
  <c r="M400" s="1"/>
  <c r="M381"/>
  <c r="K381"/>
  <c r="H381"/>
  <c r="F379"/>
  <c r="H379"/>
  <c r="E379"/>
  <c r="D379"/>
  <c r="AE378"/>
  <c r="AD378"/>
  <c r="H377"/>
  <c r="F377"/>
  <c r="H376"/>
  <c r="F376"/>
  <c r="BA374"/>
  <c r="AZ374"/>
  <c r="AE374"/>
  <c r="AD374"/>
  <c r="F374"/>
  <c r="H374"/>
  <c r="E374"/>
  <c r="D374"/>
  <c r="C374"/>
  <c r="M372"/>
  <c r="J372"/>
  <c r="I372"/>
  <c r="K372" s="1"/>
  <c r="H372"/>
  <c r="M371"/>
  <c r="J371"/>
  <c r="I371"/>
  <c r="K371" s="1"/>
  <c r="H371"/>
  <c r="M370"/>
  <c r="J370"/>
  <c r="I370"/>
  <c r="K370" s="1"/>
  <c r="H370"/>
  <c r="M369"/>
  <c r="J369"/>
  <c r="I369"/>
  <c r="K369" s="1"/>
  <c r="H369"/>
  <c r="M368"/>
  <c r="J368"/>
  <c r="I368"/>
  <c r="K368" s="1"/>
  <c r="H368"/>
  <c r="M367"/>
  <c r="J367"/>
  <c r="I367"/>
  <c r="K367" s="1"/>
  <c r="H367"/>
  <c r="M366"/>
  <c r="J366"/>
  <c r="I366"/>
  <c r="K366" s="1"/>
  <c r="H366"/>
  <c r="M365"/>
  <c r="J365"/>
  <c r="I365"/>
  <c r="K365" s="1"/>
  <c r="H365"/>
  <c r="M364"/>
  <c r="J364"/>
  <c r="I364"/>
  <c r="K364" s="1"/>
  <c r="H364"/>
  <c r="M363"/>
  <c r="K363"/>
  <c r="H363"/>
  <c r="M362"/>
  <c r="J362"/>
  <c r="I362"/>
  <c r="K362" s="1"/>
  <c r="H362"/>
  <c r="M361"/>
  <c r="M360" s="1"/>
  <c r="AW378" s="1"/>
  <c r="J361"/>
  <c r="I361"/>
  <c r="K361" s="1"/>
  <c r="H361"/>
  <c r="M359"/>
  <c r="K359"/>
  <c r="H359"/>
  <c r="M358"/>
  <c r="K358"/>
  <c r="H358"/>
  <c r="M357"/>
  <c r="K357"/>
  <c r="H357"/>
  <c r="F357"/>
  <c r="M356"/>
  <c r="K356"/>
  <c r="H356"/>
  <c r="M355"/>
  <c r="M353" s="1"/>
  <c r="K355"/>
  <c r="H355"/>
  <c r="F355"/>
  <c r="M354"/>
  <c r="K354"/>
  <c r="H354"/>
  <c r="M351"/>
  <c r="M350" s="1"/>
  <c r="K351"/>
  <c r="H351"/>
  <c r="F349"/>
  <c r="H349"/>
  <c r="E349"/>
  <c r="D349"/>
  <c r="AE348"/>
  <c r="AD348"/>
  <c r="H347"/>
  <c r="F347"/>
  <c r="H346"/>
  <c r="F346"/>
  <c r="BA344"/>
  <c r="AZ344"/>
  <c r="AE344"/>
  <c r="AD344"/>
  <c r="F344"/>
  <c r="H344"/>
  <c r="E344"/>
  <c r="D344"/>
  <c r="C344"/>
  <c r="M342"/>
  <c r="J342"/>
  <c r="I342"/>
  <c r="K342" s="1"/>
  <c r="H342"/>
  <c r="M341"/>
  <c r="M340" s="1"/>
  <c r="AW348" s="1"/>
  <c r="J341"/>
  <c r="I341"/>
  <c r="K341" s="1"/>
  <c r="H341"/>
  <c r="M339"/>
  <c r="K339"/>
  <c r="H339"/>
  <c r="F339"/>
  <c r="M338"/>
  <c r="K338"/>
  <c r="H338"/>
  <c r="M337"/>
  <c r="K337"/>
  <c r="H337"/>
  <c r="F337"/>
  <c r="M336"/>
  <c r="J336"/>
  <c r="I336"/>
  <c r="K336" s="1"/>
  <c r="H336"/>
  <c r="M335"/>
  <c r="M333" s="1"/>
  <c r="K335"/>
  <c r="H335"/>
  <c r="F335"/>
  <c r="M334"/>
  <c r="K334"/>
  <c r="H334"/>
  <c r="M330"/>
  <c r="M331"/>
  <c r="K331"/>
  <c r="H331"/>
  <c r="F329"/>
  <c r="H329"/>
  <c r="E329"/>
  <c r="D329"/>
  <c r="AE328"/>
  <c r="AD328"/>
  <c r="H327"/>
  <c r="F327"/>
  <c r="H326"/>
  <c r="F326"/>
  <c r="BA324"/>
  <c r="AZ324"/>
  <c r="AE324"/>
  <c r="AD324"/>
  <c r="F324"/>
  <c r="H324"/>
  <c r="E324"/>
  <c r="D324"/>
  <c r="C324"/>
  <c r="M322"/>
  <c r="M321" s="1"/>
  <c r="AW328" s="1"/>
  <c r="J322"/>
  <c r="I322"/>
  <c r="K322" s="1"/>
  <c r="H322"/>
  <c r="M320"/>
  <c r="K320"/>
  <c r="H320"/>
  <c r="F320"/>
  <c r="M319"/>
  <c r="K319"/>
  <c r="H319"/>
  <c r="M318"/>
  <c r="M316" s="1"/>
  <c r="K318"/>
  <c r="H318"/>
  <c r="F318"/>
  <c r="M317"/>
  <c r="K317"/>
  <c r="H317"/>
  <c r="M314"/>
  <c r="M313" s="1"/>
  <c r="K314"/>
  <c r="H314"/>
  <c r="F312"/>
  <c r="H312"/>
  <c r="E312"/>
  <c r="D312"/>
  <c r="AW311"/>
  <c r="AT311"/>
  <c r="AO311"/>
  <c r="AE311"/>
  <c r="AD311"/>
  <c r="H310"/>
  <c r="F310"/>
  <c r="H309"/>
  <c r="F309"/>
  <c r="BA307"/>
  <c r="AZ307"/>
  <c r="AE307"/>
  <c r="AD307"/>
  <c r="F307"/>
  <c r="H307"/>
  <c r="E307"/>
  <c r="D307"/>
  <c r="C307"/>
  <c r="M305"/>
  <c r="K305"/>
  <c r="H305"/>
  <c r="M304"/>
  <c r="M303" s="1"/>
  <c r="K304"/>
  <c r="H304"/>
  <c r="F302"/>
  <c r="H302"/>
  <c r="E302"/>
  <c r="D302"/>
  <c r="AE301"/>
  <c r="AD301"/>
  <c r="H300"/>
  <c r="F300"/>
  <c r="H299"/>
  <c r="F299"/>
  <c r="BA297"/>
  <c r="AZ297"/>
  <c r="AE297"/>
  <c r="AD297"/>
  <c r="F297"/>
  <c r="H297"/>
  <c r="E297"/>
  <c r="D297"/>
  <c r="C297"/>
  <c r="M295"/>
  <c r="J295"/>
  <c r="I295"/>
  <c r="K295" s="1"/>
  <c r="H295"/>
  <c r="M294"/>
  <c r="J294"/>
  <c r="I294"/>
  <c r="K294" s="1"/>
  <c r="H294"/>
  <c r="M293"/>
  <c r="J293"/>
  <c r="I293"/>
  <c r="K293" s="1"/>
  <c r="H293"/>
  <c r="M292"/>
  <c r="M291" s="1"/>
  <c r="AW301" s="1"/>
  <c r="J292"/>
  <c r="I292"/>
  <c r="K292" s="1"/>
  <c r="H292"/>
  <c r="M290"/>
  <c r="K290"/>
  <c r="H290"/>
  <c r="M289"/>
  <c r="K289"/>
  <c r="H289"/>
  <c r="F289"/>
  <c r="M288"/>
  <c r="K288"/>
  <c r="H288"/>
  <c r="M287"/>
  <c r="M285" s="1"/>
  <c r="K287"/>
  <c r="H287"/>
  <c r="F287"/>
  <c r="M286"/>
  <c r="K286"/>
  <c r="H286"/>
  <c r="M282"/>
  <c r="AR301" s="1"/>
  <c r="M283"/>
  <c r="K283"/>
  <c r="H283"/>
  <c r="F281"/>
  <c r="H281"/>
  <c r="E281"/>
  <c r="D281"/>
  <c r="M278"/>
  <c r="D278"/>
  <c r="M277"/>
  <c r="D277"/>
  <c r="H275"/>
  <c r="H274"/>
  <c r="M273"/>
  <c r="M272"/>
  <c r="M269"/>
  <c r="M267"/>
  <c r="M266"/>
  <c r="M264" s="1"/>
  <c r="M260"/>
  <c r="M259"/>
  <c r="M255"/>
  <c r="AT245"/>
  <c r="AR245"/>
  <c r="AO245"/>
  <c r="BA245"/>
  <c r="AZ245"/>
  <c r="AE245"/>
  <c r="AD245"/>
  <c r="M244"/>
  <c r="AW245" s="1"/>
  <c r="I244"/>
  <c r="F244"/>
  <c r="H244"/>
  <c r="E244"/>
  <c r="D244"/>
  <c r="C244"/>
  <c r="AT243"/>
  <c r="AR243"/>
  <c r="AO243"/>
  <c r="BA243"/>
  <c r="AZ243"/>
  <c r="AE243"/>
  <c r="AD243"/>
  <c r="M242"/>
  <c r="AW243" s="1"/>
  <c r="I242"/>
  <c r="F242"/>
  <c r="H242"/>
  <c r="E242"/>
  <c r="D242"/>
  <c r="C242"/>
  <c r="AT241"/>
  <c r="AR241"/>
  <c r="AO241"/>
  <c r="BA241"/>
  <c r="AZ241"/>
  <c r="AE241"/>
  <c r="AD241"/>
  <c r="M240"/>
  <c r="AW241" s="1"/>
  <c r="I240"/>
  <c r="F240"/>
  <c r="H240"/>
  <c r="E240"/>
  <c r="D240"/>
  <c r="C240"/>
  <c r="AT239"/>
  <c r="AR239"/>
  <c r="AO239"/>
  <c r="BA239"/>
  <c r="AZ239"/>
  <c r="AE239"/>
  <c r="AD239"/>
  <c r="M238"/>
  <c r="AW239" s="1"/>
  <c r="I238"/>
  <c r="F238"/>
  <c r="H238"/>
  <c r="E238"/>
  <c r="D238"/>
  <c r="C238"/>
  <c r="AT237"/>
  <c r="M254" s="1"/>
  <c r="AR237"/>
  <c r="M261" s="1"/>
  <c r="AO237"/>
  <c r="M252" s="1"/>
  <c r="M250" s="1"/>
  <c r="BA237"/>
  <c r="M263" s="1"/>
  <c r="AZ237"/>
  <c r="M262" s="1"/>
  <c r="AE237"/>
  <c r="AD237"/>
  <c r="M236"/>
  <c r="AW237" s="1"/>
  <c r="M258" s="1"/>
  <c r="M256" s="1"/>
  <c r="I236"/>
  <c r="F236"/>
  <c r="H236"/>
  <c r="E236"/>
  <c r="D236"/>
  <c r="C236"/>
  <c r="M233"/>
  <c r="D233"/>
  <c r="M232"/>
  <c r="D232"/>
  <c r="M228"/>
  <c r="M227"/>
  <c r="M224"/>
  <c r="M222"/>
  <c r="M221"/>
  <c r="M219" s="1"/>
  <c r="M215"/>
  <c r="M214"/>
  <c r="M210"/>
  <c r="AW200"/>
  <c r="AT200"/>
  <c r="AO200"/>
  <c r="AE200"/>
  <c r="AD200"/>
  <c r="H199"/>
  <c r="F199"/>
  <c r="H198"/>
  <c r="F198"/>
  <c r="BA196"/>
  <c r="AZ196"/>
  <c r="AE196"/>
  <c r="AD196"/>
  <c r="F196"/>
  <c r="H196"/>
  <c r="E196"/>
  <c r="D196"/>
  <c r="C196"/>
  <c r="M193"/>
  <c r="M194"/>
  <c r="K194"/>
  <c r="H194"/>
  <c r="D192"/>
  <c r="F191"/>
  <c r="H191"/>
  <c r="E191"/>
  <c r="D191"/>
  <c r="AE190"/>
  <c r="AD190"/>
  <c r="H189"/>
  <c r="F189"/>
  <c r="H188"/>
  <c r="F188"/>
  <c r="BA186"/>
  <c r="AZ186"/>
  <c r="AE186"/>
  <c r="AD186"/>
  <c r="F186"/>
  <c r="H186"/>
  <c r="E186"/>
  <c r="D186"/>
  <c r="C186"/>
  <c r="M184"/>
  <c r="M183" s="1"/>
  <c r="AW190" s="1"/>
  <c r="J184"/>
  <c r="I184"/>
  <c r="K184" s="1"/>
  <c r="H184"/>
  <c r="M182"/>
  <c r="K182"/>
  <c r="H182"/>
  <c r="F182"/>
  <c r="M181"/>
  <c r="K181"/>
  <c r="H181"/>
  <c r="M180"/>
  <c r="M178" s="1"/>
  <c r="K180"/>
  <c r="H180"/>
  <c r="F180"/>
  <c r="M179"/>
  <c r="K179"/>
  <c r="H179"/>
  <c r="M176"/>
  <c r="M175" s="1"/>
  <c r="K176"/>
  <c r="H176"/>
  <c r="F174"/>
  <c r="H174"/>
  <c r="E174"/>
  <c r="D174"/>
  <c r="M171"/>
  <c r="D171"/>
  <c r="M170"/>
  <c r="D170"/>
  <c r="H168"/>
  <c r="H167"/>
  <c r="M166"/>
  <c r="M165"/>
  <c r="M162"/>
  <c r="M160"/>
  <c r="M159"/>
  <c r="M157" s="1"/>
  <c r="M153"/>
  <c r="M152"/>
  <c r="M148"/>
  <c r="AT138"/>
  <c r="AR138"/>
  <c r="AO138"/>
  <c r="BA138"/>
  <c r="AZ138"/>
  <c r="AE138"/>
  <c r="AD138"/>
  <c r="M137"/>
  <c r="AW138" s="1"/>
  <c r="I137"/>
  <c r="F137"/>
  <c r="H137"/>
  <c r="E137"/>
  <c r="D137"/>
  <c r="C137"/>
  <c r="AT136"/>
  <c r="AR136"/>
  <c r="AO136"/>
  <c r="BA136"/>
  <c r="AZ136"/>
  <c r="AE136"/>
  <c r="AD136"/>
  <c r="M135"/>
  <c r="AW136" s="1"/>
  <c r="I135"/>
  <c r="F135"/>
  <c r="H135"/>
  <c r="E135"/>
  <c r="D135"/>
  <c r="C135"/>
  <c r="AT134"/>
  <c r="AR134"/>
  <c r="AO134"/>
  <c r="BA134"/>
  <c r="AZ134"/>
  <c r="AE134"/>
  <c r="AD134"/>
  <c r="M133"/>
  <c r="AW134" s="1"/>
  <c r="I133"/>
  <c r="F133"/>
  <c r="H133"/>
  <c r="E133"/>
  <c r="D133"/>
  <c r="C133"/>
  <c r="AT132"/>
  <c r="AR132"/>
  <c r="AO132"/>
  <c r="BA132"/>
  <c r="AZ132"/>
  <c r="AE132"/>
  <c r="AD132"/>
  <c r="M131"/>
  <c r="AW132" s="1"/>
  <c r="I131"/>
  <c r="F131"/>
  <c r="H131"/>
  <c r="E131"/>
  <c r="D131"/>
  <c r="C131"/>
  <c r="AT130"/>
  <c r="AR130"/>
  <c r="AO130"/>
  <c r="BA130"/>
  <c r="AZ130"/>
  <c r="AE130"/>
  <c r="AD130"/>
  <c r="M129"/>
  <c r="AW130" s="1"/>
  <c r="I129"/>
  <c r="F129"/>
  <c r="H129"/>
  <c r="E129"/>
  <c r="D129"/>
  <c r="C129"/>
  <c r="AT128"/>
  <c r="M629" s="1"/>
  <c r="AR128"/>
  <c r="M636" s="1"/>
  <c r="AO128"/>
  <c r="M627" s="1"/>
  <c r="M625" s="1"/>
  <c r="BA128"/>
  <c r="M638" s="1"/>
  <c r="AZ128"/>
  <c r="M637" s="1"/>
  <c r="AE128"/>
  <c r="AD128"/>
  <c r="M127"/>
  <c r="AW128" s="1"/>
  <c r="I127"/>
  <c r="F127"/>
  <c r="H127"/>
  <c r="E127"/>
  <c r="D127"/>
  <c r="C127"/>
  <c r="M124"/>
  <c r="D124"/>
  <c r="M123"/>
  <c r="D123"/>
  <c r="M119"/>
  <c r="M118"/>
  <c r="M115"/>
  <c r="M113"/>
  <c r="M112"/>
  <c r="M110" s="1"/>
  <c r="M106"/>
  <c r="M105"/>
  <c r="M101"/>
  <c r="AW91"/>
  <c r="AT91"/>
  <c r="AO91"/>
  <c r="AE91"/>
  <c r="AD91"/>
  <c r="H90"/>
  <c r="F90"/>
  <c r="H89"/>
  <c r="F89"/>
  <c r="BA87"/>
  <c r="AZ87"/>
  <c r="AE87"/>
  <c r="AD87"/>
  <c r="F87"/>
  <c r="H87"/>
  <c r="E87"/>
  <c r="D87"/>
  <c r="C87"/>
  <c r="M85"/>
  <c r="M84" s="1"/>
  <c r="K85"/>
  <c r="H85"/>
  <c r="D83"/>
  <c r="F82"/>
  <c r="H82"/>
  <c r="E82"/>
  <c r="D82"/>
  <c r="AE81"/>
  <c r="AD81"/>
  <c r="H80"/>
  <c r="F80"/>
  <c r="H79"/>
  <c r="F79"/>
  <c r="BA77"/>
  <c r="AZ77"/>
  <c r="AE77"/>
  <c r="AD77"/>
  <c r="F77"/>
  <c r="H77"/>
  <c r="E77"/>
  <c r="D77"/>
  <c r="C77"/>
  <c r="M75"/>
  <c r="J75"/>
  <c r="I75"/>
  <c r="K75" s="1"/>
  <c r="H75"/>
  <c r="G75"/>
  <c r="M74"/>
  <c r="K74"/>
  <c r="H74"/>
  <c r="G74"/>
  <c r="M73"/>
  <c r="J73"/>
  <c r="I73"/>
  <c r="K73" s="1"/>
  <c r="H73"/>
  <c r="G73"/>
  <c r="M72"/>
  <c r="J72"/>
  <c r="I72"/>
  <c r="K72" s="1"/>
  <c r="H72"/>
  <c r="G72"/>
  <c r="M71"/>
  <c r="J71"/>
  <c r="I71"/>
  <c r="K71" s="1"/>
  <c r="H71"/>
  <c r="G71"/>
  <c r="M70"/>
  <c r="M69" s="1"/>
  <c r="AW81" s="1"/>
  <c r="J70"/>
  <c r="I70"/>
  <c r="K70" s="1"/>
  <c r="H70"/>
  <c r="G70"/>
  <c r="M68"/>
  <c r="K68"/>
  <c r="H68"/>
  <c r="M67"/>
  <c r="K67"/>
  <c r="H67"/>
  <c r="F67"/>
  <c r="M66"/>
  <c r="K66"/>
  <c r="H66"/>
  <c r="M65"/>
  <c r="M63" s="1"/>
  <c r="K65"/>
  <c r="H65"/>
  <c r="F65"/>
  <c r="M64"/>
  <c r="K64"/>
  <c r="H64"/>
  <c r="M60"/>
  <c r="AR81" s="1"/>
  <c r="M61"/>
  <c r="K61"/>
  <c r="H61"/>
  <c r="F59"/>
  <c r="H59"/>
  <c r="E59"/>
  <c r="AE58"/>
  <c r="AD58"/>
  <c r="H57"/>
  <c r="F57"/>
  <c r="H56"/>
  <c r="F56"/>
  <c r="BA54"/>
  <c r="AZ54"/>
  <c r="AE54"/>
  <c r="AD54"/>
  <c r="F54"/>
  <c r="H54"/>
  <c r="E54"/>
  <c r="D54"/>
  <c r="C54"/>
  <c r="M52"/>
  <c r="M51" s="1"/>
  <c r="AW58" s="1"/>
  <c r="M653" s="1"/>
  <c r="M651" s="1"/>
  <c r="J52"/>
  <c r="I52"/>
  <c r="K52" s="1"/>
  <c r="H52"/>
  <c r="M50"/>
  <c r="K50"/>
  <c r="H50"/>
  <c r="F50"/>
  <c r="M49"/>
  <c r="K49"/>
  <c r="H49"/>
  <c r="M48"/>
  <c r="M46" s="1"/>
  <c r="K48"/>
  <c r="H48"/>
  <c r="F48"/>
  <c r="M47"/>
  <c r="K47"/>
  <c r="H47"/>
  <c r="M43"/>
  <c r="AR58" s="1"/>
  <c r="M44"/>
  <c r="K44"/>
  <c r="H44"/>
  <c r="F42"/>
  <c r="H42"/>
  <c r="E42"/>
  <c r="D42"/>
  <c r="J26"/>
  <c r="I26"/>
  <c r="H26"/>
  <c r="G26"/>
  <c r="K22"/>
  <c r="K21"/>
  <c r="K20"/>
  <c r="K19"/>
  <c r="K16"/>
  <c r="C17"/>
  <c r="K14"/>
  <c r="K12"/>
  <c r="C13"/>
  <c r="K10"/>
  <c r="C11"/>
  <c r="K8"/>
  <c r="C9"/>
  <c r="A1"/>
  <c r="H738" i="6"/>
  <c r="H735"/>
  <c r="C738"/>
  <c r="C735"/>
  <c r="L732"/>
  <c r="C732"/>
  <c r="L731"/>
  <c r="C731"/>
  <c r="L727"/>
  <c r="L726"/>
  <c r="L723"/>
  <c r="L722"/>
  <c r="L720" s="1"/>
  <c r="L716"/>
  <c r="L715"/>
  <c r="L711"/>
  <c r="L696"/>
  <c r="L695"/>
  <c r="L691"/>
  <c r="L680"/>
  <c r="L675"/>
  <c r="L674"/>
  <c r="L672" s="1"/>
  <c r="L667"/>
  <c r="L666"/>
  <c r="L662"/>
  <c r="L647"/>
  <c r="L646"/>
  <c r="L642"/>
  <c r="L628"/>
  <c r="C628"/>
  <c r="L627"/>
  <c r="C627"/>
  <c r="L623"/>
  <c r="L622"/>
  <c r="L619"/>
  <c r="L617"/>
  <c r="L616"/>
  <c r="L614" s="1"/>
  <c r="L610"/>
  <c r="L609"/>
  <c r="L605"/>
  <c r="AW595"/>
  <c r="AT595"/>
  <c r="AO595"/>
  <c r="AE595"/>
  <c r="AD595"/>
  <c r="CB595"/>
  <c r="CC595"/>
  <c r="G594"/>
  <c r="E594"/>
  <c r="G593"/>
  <c r="E593"/>
  <c r="L590"/>
  <c r="J590"/>
  <c r="G590"/>
  <c r="L589"/>
  <c r="L588" s="1"/>
  <c r="J589"/>
  <c r="G589"/>
  <c r="E587"/>
  <c r="G587"/>
  <c r="D587"/>
  <c r="C587"/>
  <c r="AW586"/>
  <c r="AT586"/>
  <c r="AO586"/>
  <c r="AE586"/>
  <c r="AD586"/>
  <c r="CB586"/>
  <c r="CC586"/>
  <c r="G585"/>
  <c r="E585"/>
  <c r="G584"/>
  <c r="E584"/>
  <c r="L581"/>
  <c r="J581"/>
  <c r="G581"/>
  <c r="L580"/>
  <c r="L579" s="1"/>
  <c r="J580"/>
  <c r="G580"/>
  <c r="E578"/>
  <c r="G578"/>
  <c r="D578"/>
  <c r="C578"/>
  <c r="AW577"/>
  <c r="AT577"/>
  <c r="AO577"/>
  <c r="AE577"/>
  <c r="AD577"/>
  <c r="CB577"/>
  <c r="CC577"/>
  <c r="G576"/>
  <c r="E576"/>
  <c r="G575"/>
  <c r="E575"/>
  <c r="L572"/>
  <c r="J572"/>
  <c r="G572"/>
  <c r="L571"/>
  <c r="L570" s="1"/>
  <c r="J571"/>
  <c r="G571"/>
  <c r="E569"/>
  <c r="G569"/>
  <c r="D569"/>
  <c r="C569"/>
  <c r="AW568"/>
  <c r="L608" s="1"/>
  <c r="L606" s="1"/>
  <c r="AT568"/>
  <c r="L690" s="1"/>
  <c r="AO568"/>
  <c r="L688" s="1"/>
  <c r="L686" s="1"/>
  <c r="AE568"/>
  <c r="AD568"/>
  <c r="CB568"/>
  <c r="CC568"/>
  <c r="G567"/>
  <c r="E567"/>
  <c r="G566"/>
  <c r="E566"/>
  <c r="L563"/>
  <c r="J563"/>
  <c r="G563"/>
  <c r="L562"/>
  <c r="J562"/>
  <c r="G562"/>
  <c r="L561"/>
  <c r="L560" s="1"/>
  <c r="J561"/>
  <c r="G561"/>
  <c r="E559"/>
  <c r="G559"/>
  <c r="D559"/>
  <c r="C559"/>
  <c r="L556"/>
  <c r="C556"/>
  <c r="L555"/>
  <c r="C555"/>
  <c r="G553"/>
  <c r="G552"/>
  <c r="L551"/>
  <c r="L550"/>
  <c r="L547"/>
  <c r="L545"/>
  <c r="L544"/>
  <c r="L542" s="1"/>
  <c r="L538"/>
  <c r="L537"/>
  <c r="L533"/>
  <c r="AW523"/>
  <c r="AT523"/>
  <c r="AR523"/>
  <c r="AO523"/>
  <c r="AN523"/>
  <c r="BA523"/>
  <c r="AZ523"/>
  <c r="AE523"/>
  <c r="AD523"/>
  <c r="L522"/>
  <c r="K523" s="1"/>
  <c r="I523" s="1"/>
  <c r="H522"/>
  <c r="E522"/>
  <c r="G522"/>
  <c r="D522"/>
  <c r="C522"/>
  <c r="B522"/>
  <c r="AW521"/>
  <c r="AT521"/>
  <c r="AR521"/>
  <c r="AO521"/>
  <c r="AN521"/>
  <c r="BA521"/>
  <c r="AZ521"/>
  <c r="AE521"/>
  <c r="AD521"/>
  <c r="L520"/>
  <c r="K521" s="1"/>
  <c r="I521" s="1"/>
  <c r="H520"/>
  <c r="E520"/>
  <c r="G520"/>
  <c r="D520"/>
  <c r="C520"/>
  <c r="B520"/>
  <c r="AW519"/>
  <c r="AT519"/>
  <c r="AR519"/>
  <c r="AO519"/>
  <c r="AN519"/>
  <c r="BA519"/>
  <c r="AZ519"/>
  <c r="AE519"/>
  <c r="AD519"/>
  <c r="L518"/>
  <c r="K519" s="1"/>
  <c r="I519" s="1"/>
  <c r="H518"/>
  <c r="E518"/>
  <c r="G518"/>
  <c r="D518"/>
  <c r="C518"/>
  <c r="B518"/>
  <c r="AW517"/>
  <c r="AT517"/>
  <c r="AR517"/>
  <c r="AO517"/>
  <c r="AN517"/>
  <c r="BA517"/>
  <c r="AZ517"/>
  <c r="AE517"/>
  <c r="AD517"/>
  <c r="L516"/>
  <c r="K517" s="1"/>
  <c r="I517" s="1"/>
  <c r="H516"/>
  <c r="E516"/>
  <c r="G516"/>
  <c r="D516"/>
  <c r="C516"/>
  <c r="B516"/>
  <c r="AW515"/>
  <c r="AT515"/>
  <c r="AR515"/>
  <c r="AO515"/>
  <c r="AN515"/>
  <c r="BA515"/>
  <c r="AZ515"/>
  <c r="AE515"/>
  <c r="AD515"/>
  <c r="L514"/>
  <c r="K515" s="1"/>
  <c r="I515" s="1"/>
  <c r="H514"/>
  <c r="E514"/>
  <c r="G514"/>
  <c r="D514"/>
  <c r="C514"/>
  <c r="B514"/>
  <c r="AW513"/>
  <c r="AT513"/>
  <c r="AR513"/>
  <c r="AO513"/>
  <c r="AN513"/>
  <c r="BA513"/>
  <c r="AZ513"/>
  <c r="AE513"/>
  <c r="AD513"/>
  <c r="L512"/>
  <c r="K513" s="1"/>
  <c r="I513" s="1"/>
  <c r="H512"/>
  <c r="E512"/>
  <c r="G512"/>
  <c r="D512"/>
  <c r="C512"/>
  <c r="B512"/>
  <c r="AW511"/>
  <c r="AT511"/>
  <c r="AR511"/>
  <c r="AO511"/>
  <c r="AN511"/>
  <c r="BA511"/>
  <c r="AZ511"/>
  <c r="AE511"/>
  <c r="AD511"/>
  <c r="L510"/>
  <c r="K511" s="1"/>
  <c r="I511" s="1"/>
  <c r="H510"/>
  <c r="E510"/>
  <c r="G510"/>
  <c r="D510"/>
  <c r="C510"/>
  <c r="B510"/>
  <c r="AW509"/>
  <c r="AT509"/>
  <c r="AR509"/>
  <c r="AO509"/>
  <c r="AN509"/>
  <c r="BA509"/>
  <c r="AZ509"/>
  <c r="AE509"/>
  <c r="AD509"/>
  <c r="L508"/>
  <c r="K509" s="1"/>
  <c r="I509" s="1"/>
  <c r="H508"/>
  <c r="E508"/>
  <c r="G508"/>
  <c r="D508"/>
  <c r="C508"/>
  <c r="B508"/>
  <c r="AW507"/>
  <c r="L536" s="1"/>
  <c r="L534" s="1"/>
  <c r="AT507"/>
  <c r="L532" s="1"/>
  <c r="AR507"/>
  <c r="L539" s="1"/>
  <c r="AO507"/>
  <c r="L530" s="1"/>
  <c r="L528" s="1"/>
  <c r="AN507"/>
  <c r="BA507"/>
  <c r="L541" s="1"/>
  <c r="AZ507"/>
  <c r="L540" s="1"/>
  <c r="AE507"/>
  <c r="AD507"/>
  <c r="L506"/>
  <c r="K507" s="1"/>
  <c r="I507" s="1"/>
  <c r="H506"/>
  <c r="E506"/>
  <c r="G506"/>
  <c r="D506"/>
  <c r="C506"/>
  <c r="B506"/>
  <c r="L503"/>
  <c r="C503"/>
  <c r="L502"/>
  <c r="C502"/>
  <c r="L498"/>
  <c r="L497"/>
  <c r="L494"/>
  <c r="L492"/>
  <c r="L491"/>
  <c r="L489" s="1"/>
  <c r="L485"/>
  <c r="L484"/>
  <c r="L480"/>
  <c r="AE470"/>
  <c r="AD470"/>
  <c r="G469"/>
  <c r="E469"/>
  <c r="G468"/>
  <c r="E468"/>
  <c r="BA466"/>
  <c r="AZ466"/>
  <c r="AE466"/>
  <c r="AD466"/>
  <c r="E466"/>
  <c r="G466"/>
  <c r="D466"/>
  <c r="C466"/>
  <c r="B466"/>
  <c r="L464"/>
  <c r="I464"/>
  <c r="H464"/>
  <c r="J464" s="1"/>
  <c r="G464"/>
  <c r="L463"/>
  <c r="L462" s="1"/>
  <c r="AW470" s="1"/>
  <c r="I463"/>
  <c r="H463"/>
  <c r="J463" s="1"/>
  <c r="G463"/>
  <c r="L461"/>
  <c r="J461"/>
  <c r="G461"/>
  <c r="L460"/>
  <c r="L456" s="1"/>
  <c r="J460"/>
  <c r="G460"/>
  <c r="E460"/>
  <c r="L459"/>
  <c r="J459"/>
  <c r="G459"/>
  <c r="L458"/>
  <c r="J458"/>
  <c r="G458"/>
  <c r="E458"/>
  <c r="L457"/>
  <c r="J457"/>
  <c r="G457"/>
  <c r="L453"/>
  <c r="L454"/>
  <c r="J454"/>
  <c r="G454"/>
  <c r="C452"/>
  <c r="E451"/>
  <c r="G451"/>
  <c r="D451"/>
  <c r="C451"/>
  <c r="AE450"/>
  <c r="AD450"/>
  <c r="G449"/>
  <c r="E449"/>
  <c r="G448"/>
  <c r="E448"/>
  <c r="BA446"/>
  <c r="AZ446"/>
  <c r="AE446"/>
  <c r="AD446"/>
  <c r="E446"/>
  <c r="G446"/>
  <c r="D446"/>
  <c r="C446"/>
  <c r="B446"/>
  <c r="L444"/>
  <c r="I444"/>
  <c r="H444"/>
  <c r="J444" s="1"/>
  <c r="G444"/>
  <c r="L443"/>
  <c r="I443"/>
  <c r="H443"/>
  <c r="J443" s="1"/>
  <c r="G443"/>
  <c r="L442"/>
  <c r="L441" s="1"/>
  <c r="AW450" s="1"/>
  <c r="I442"/>
  <c r="H442"/>
  <c r="J442" s="1"/>
  <c r="G442"/>
  <c r="L440"/>
  <c r="J440"/>
  <c r="G440"/>
  <c r="E440"/>
  <c r="L439"/>
  <c r="J439"/>
  <c r="G439"/>
  <c r="L438"/>
  <c r="I438"/>
  <c r="H438"/>
  <c r="J438" s="1"/>
  <c r="G438"/>
  <c r="L437"/>
  <c r="I437"/>
  <c r="H437"/>
  <c r="J437" s="1"/>
  <c r="G437"/>
  <c r="L436"/>
  <c r="L434" s="1"/>
  <c r="J436"/>
  <c r="G436"/>
  <c r="E436"/>
  <c r="L435"/>
  <c r="J435"/>
  <c r="G435"/>
  <c r="L431"/>
  <c r="L432"/>
  <c r="J432"/>
  <c r="G432"/>
  <c r="C430"/>
  <c r="E429"/>
  <c r="G429"/>
  <c r="D429"/>
  <c r="C429"/>
  <c r="AT428"/>
  <c r="AO428"/>
  <c r="AE428"/>
  <c r="AD428"/>
  <c r="G427"/>
  <c r="E427"/>
  <c r="G426"/>
  <c r="E426"/>
  <c r="BA424"/>
  <c r="AZ424"/>
  <c r="AE424"/>
  <c r="AD424"/>
  <c r="E424"/>
  <c r="G424"/>
  <c r="D424"/>
  <c r="C424"/>
  <c r="B424"/>
  <c r="L422"/>
  <c r="I422"/>
  <c r="H422"/>
  <c r="J422" s="1"/>
  <c r="G422"/>
  <c r="L421"/>
  <c r="L420" s="1"/>
  <c r="AW428" s="1"/>
  <c r="J421"/>
  <c r="G421"/>
  <c r="L418"/>
  <c r="L419"/>
  <c r="J419"/>
  <c r="G419"/>
  <c r="C417"/>
  <c r="E416"/>
  <c r="G416"/>
  <c r="D416"/>
  <c r="C416"/>
  <c r="AE415"/>
  <c r="AD415"/>
  <c r="G414"/>
  <c r="E414"/>
  <c r="G413"/>
  <c r="E413"/>
  <c r="BA411"/>
  <c r="AZ411"/>
  <c r="AE411"/>
  <c r="AD411"/>
  <c r="E411"/>
  <c r="G411"/>
  <c r="D411"/>
  <c r="C411"/>
  <c r="B411"/>
  <c r="L409"/>
  <c r="I409"/>
  <c r="H409"/>
  <c r="J409" s="1"/>
  <c r="G409"/>
  <c r="L408"/>
  <c r="I408"/>
  <c r="H408"/>
  <c r="J408" s="1"/>
  <c r="G408"/>
  <c r="L407"/>
  <c r="I407"/>
  <c r="H407"/>
  <c r="J407" s="1"/>
  <c r="G407"/>
  <c r="L406"/>
  <c r="I406"/>
  <c r="H406"/>
  <c r="J406" s="1"/>
  <c r="G406"/>
  <c r="L405"/>
  <c r="I405"/>
  <c r="H405"/>
  <c r="J405" s="1"/>
  <c r="G405"/>
  <c r="L404"/>
  <c r="I404"/>
  <c r="H404"/>
  <c r="J404" s="1"/>
  <c r="G404"/>
  <c r="L403"/>
  <c r="I403"/>
  <c r="H403"/>
  <c r="J403" s="1"/>
  <c r="G403"/>
  <c r="L402"/>
  <c r="I402"/>
  <c r="H402"/>
  <c r="J402" s="1"/>
  <c r="G402"/>
  <c r="L401"/>
  <c r="I401"/>
  <c r="H401"/>
  <c r="J401" s="1"/>
  <c r="G401"/>
  <c r="L400"/>
  <c r="J400"/>
  <c r="G400"/>
  <c r="L399"/>
  <c r="I399"/>
  <c r="H399"/>
  <c r="J399" s="1"/>
  <c r="G399"/>
  <c r="L398"/>
  <c r="L397" s="1"/>
  <c r="AW415" s="1"/>
  <c r="I398"/>
  <c r="H398"/>
  <c r="J398" s="1"/>
  <c r="G398"/>
  <c r="L395"/>
  <c r="AT415" s="1"/>
  <c r="L394"/>
  <c r="AO415" s="1"/>
  <c r="L396"/>
  <c r="J396"/>
  <c r="G396"/>
  <c r="L392"/>
  <c r="L393"/>
  <c r="J393"/>
  <c r="G393"/>
  <c r="E391"/>
  <c r="G391"/>
  <c r="D391"/>
  <c r="C391"/>
  <c r="AE390"/>
  <c r="AD390"/>
  <c r="G389"/>
  <c r="E389"/>
  <c r="G388"/>
  <c r="E388"/>
  <c r="BA386"/>
  <c r="AZ386"/>
  <c r="AE386"/>
  <c r="AD386"/>
  <c r="E386"/>
  <c r="G386"/>
  <c r="D386"/>
  <c r="C386"/>
  <c r="B386"/>
  <c r="L384"/>
  <c r="I384"/>
  <c r="H384"/>
  <c r="J384" s="1"/>
  <c r="G384"/>
  <c r="L383"/>
  <c r="I383"/>
  <c r="H383"/>
  <c r="J383" s="1"/>
  <c r="G383"/>
  <c r="L382"/>
  <c r="I382"/>
  <c r="H382"/>
  <c r="J382" s="1"/>
  <c r="G382"/>
  <c r="L381"/>
  <c r="I381"/>
  <c r="H381"/>
  <c r="J381" s="1"/>
  <c r="G381"/>
  <c r="L380"/>
  <c r="I380"/>
  <c r="H380"/>
  <c r="J380" s="1"/>
  <c r="G380"/>
  <c r="L379"/>
  <c r="I379"/>
  <c r="H379"/>
  <c r="J379" s="1"/>
  <c r="G379"/>
  <c r="L378"/>
  <c r="I378"/>
  <c r="H378"/>
  <c r="J378" s="1"/>
  <c r="G378"/>
  <c r="L377"/>
  <c r="I377"/>
  <c r="H377"/>
  <c r="J377" s="1"/>
  <c r="G377"/>
  <c r="L376"/>
  <c r="I376"/>
  <c r="H376"/>
  <c r="J376" s="1"/>
  <c r="G376"/>
  <c r="L375"/>
  <c r="J375"/>
  <c r="G375"/>
  <c r="L374"/>
  <c r="I374"/>
  <c r="H374"/>
  <c r="J374" s="1"/>
  <c r="G374"/>
  <c r="L373"/>
  <c r="L372" s="1"/>
  <c r="AW390" s="1"/>
  <c r="I373"/>
  <c r="H373"/>
  <c r="J373" s="1"/>
  <c r="G373"/>
  <c r="L371"/>
  <c r="J371"/>
  <c r="G371"/>
  <c r="L370"/>
  <c r="J370"/>
  <c r="G370"/>
  <c r="L369"/>
  <c r="J369"/>
  <c r="G369"/>
  <c r="E369"/>
  <c r="L368"/>
  <c r="J368"/>
  <c r="G368"/>
  <c r="L367"/>
  <c r="L365" s="1"/>
  <c r="J367"/>
  <c r="G367"/>
  <c r="E367"/>
  <c r="L366"/>
  <c r="J366"/>
  <c r="G366"/>
  <c r="L363"/>
  <c r="L362" s="1"/>
  <c r="J363"/>
  <c r="G363"/>
  <c r="E361"/>
  <c r="G361"/>
  <c r="D361"/>
  <c r="C361"/>
  <c r="AE360"/>
  <c r="AD360"/>
  <c r="G359"/>
  <c r="E359"/>
  <c r="G358"/>
  <c r="E358"/>
  <c r="BA356"/>
  <c r="AZ356"/>
  <c r="AE356"/>
  <c r="AD356"/>
  <c r="E356"/>
  <c r="G356"/>
  <c r="D356"/>
  <c r="C356"/>
  <c r="B356"/>
  <c r="L354"/>
  <c r="I354"/>
  <c r="H354"/>
  <c r="J354" s="1"/>
  <c r="G354"/>
  <c r="L353"/>
  <c r="L352" s="1"/>
  <c r="AW360" s="1"/>
  <c r="I353"/>
  <c r="H353"/>
  <c r="J353" s="1"/>
  <c r="G353"/>
  <c r="L351"/>
  <c r="J351"/>
  <c r="G351"/>
  <c r="E351"/>
  <c r="L350"/>
  <c r="J350"/>
  <c r="G350"/>
  <c r="L349"/>
  <c r="J349"/>
  <c r="G349"/>
  <c r="E349"/>
  <c r="L348"/>
  <c r="I348"/>
  <c r="H348"/>
  <c r="J348" s="1"/>
  <c r="G348"/>
  <c r="L347"/>
  <c r="L345" s="1"/>
  <c r="J347"/>
  <c r="G347"/>
  <c r="E347"/>
  <c r="L346"/>
  <c r="J346"/>
  <c r="G346"/>
  <c r="L342"/>
  <c r="AR360" s="1"/>
  <c r="L343"/>
  <c r="J343"/>
  <c r="G343"/>
  <c r="E341"/>
  <c r="G341"/>
  <c r="D341"/>
  <c r="C341"/>
  <c r="AE340"/>
  <c r="AD340"/>
  <c r="G339"/>
  <c r="E339"/>
  <c r="G338"/>
  <c r="E338"/>
  <c r="BA336"/>
  <c r="AZ336"/>
  <c r="AE336"/>
  <c r="AD336"/>
  <c r="E336"/>
  <c r="G336"/>
  <c r="D336"/>
  <c r="C336"/>
  <c r="B336"/>
  <c r="L333"/>
  <c r="AW340" s="1"/>
  <c r="L334"/>
  <c r="I334"/>
  <c r="H334"/>
  <c r="J334" s="1"/>
  <c r="G334"/>
  <c r="L332"/>
  <c r="J332"/>
  <c r="G332"/>
  <c r="E332"/>
  <c r="L331"/>
  <c r="J331"/>
  <c r="G331"/>
  <c r="L330"/>
  <c r="L328" s="1"/>
  <c r="J330"/>
  <c r="G330"/>
  <c r="E330"/>
  <c r="L329"/>
  <c r="J329"/>
  <c r="G329"/>
  <c r="L326"/>
  <c r="L325" s="1"/>
  <c r="J326"/>
  <c r="G326"/>
  <c r="E324"/>
  <c r="G324"/>
  <c r="D324"/>
  <c r="C324"/>
  <c r="AW323"/>
  <c r="AT323"/>
  <c r="AO323"/>
  <c r="AE323"/>
  <c r="AD323"/>
  <c r="G322"/>
  <c r="E322"/>
  <c r="G321"/>
  <c r="E321"/>
  <c r="BA319"/>
  <c r="AZ319"/>
  <c r="AE319"/>
  <c r="AD319"/>
  <c r="E319"/>
  <c r="G319"/>
  <c r="D319"/>
  <c r="C319"/>
  <c r="B319"/>
  <c r="L317"/>
  <c r="J317"/>
  <c r="G317"/>
  <c r="L316"/>
  <c r="L315" s="1"/>
  <c r="J316"/>
  <c r="G316"/>
  <c r="E314"/>
  <c r="G314"/>
  <c r="D314"/>
  <c r="C314"/>
  <c r="AE313"/>
  <c r="AD313"/>
  <c r="G312"/>
  <c r="E312"/>
  <c r="G311"/>
  <c r="E311"/>
  <c r="BA309"/>
  <c r="AZ309"/>
  <c r="AE309"/>
  <c r="AD309"/>
  <c r="E309"/>
  <c r="G309"/>
  <c r="D309"/>
  <c r="C309"/>
  <c r="B309"/>
  <c r="L307"/>
  <c r="I307"/>
  <c r="H307"/>
  <c r="J307" s="1"/>
  <c r="G307"/>
  <c r="L306"/>
  <c r="I306"/>
  <c r="H306"/>
  <c r="J306" s="1"/>
  <c r="G306"/>
  <c r="L305"/>
  <c r="I305"/>
  <c r="H305"/>
  <c r="J305" s="1"/>
  <c r="G305"/>
  <c r="L304"/>
  <c r="L303" s="1"/>
  <c r="AW313" s="1"/>
  <c r="I304"/>
  <c r="H304"/>
  <c r="J304" s="1"/>
  <c r="G304"/>
  <c r="L302"/>
  <c r="J302"/>
  <c r="G302"/>
  <c r="L301"/>
  <c r="J301"/>
  <c r="G301"/>
  <c r="E301"/>
  <c r="L300"/>
  <c r="J300"/>
  <c r="G300"/>
  <c r="L299"/>
  <c r="L297" s="1"/>
  <c r="J299"/>
  <c r="G299"/>
  <c r="E299"/>
  <c r="L298"/>
  <c r="J298"/>
  <c r="G298"/>
  <c r="L295"/>
  <c r="L294" s="1"/>
  <c r="J295"/>
  <c r="G295"/>
  <c r="E293"/>
  <c r="G293"/>
  <c r="D293"/>
  <c r="C293"/>
  <c r="L290"/>
  <c r="C290"/>
  <c r="L289"/>
  <c r="C289"/>
  <c r="G287"/>
  <c r="G286"/>
  <c r="L285"/>
  <c r="L284"/>
  <c r="L281"/>
  <c r="L279"/>
  <c r="L278"/>
  <c r="L276" s="1"/>
  <c r="L272"/>
  <c r="L271"/>
  <c r="L267"/>
  <c r="AT257"/>
  <c r="AR257"/>
  <c r="AO257"/>
  <c r="BA257"/>
  <c r="AZ257"/>
  <c r="AE257"/>
  <c r="AD257"/>
  <c r="L256"/>
  <c r="K257" s="1"/>
  <c r="I257" s="1"/>
  <c r="H256"/>
  <c r="E256"/>
  <c r="G256"/>
  <c r="D256"/>
  <c r="C256"/>
  <c r="B256"/>
  <c r="AT255"/>
  <c r="AR255"/>
  <c r="AO255"/>
  <c r="BA255"/>
  <c r="AZ255"/>
  <c r="AE255"/>
  <c r="AD255"/>
  <c r="L254"/>
  <c r="K255" s="1"/>
  <c r="I255" s="1"/>
  <c r="H254"/>
  <c r="E254"/>
  <c r="G254"/>
  <c r="D254"/>
  <c r="C254"/>
  <c r="B254"/>
  <c r="AT253"/>
  <c r="AR253"/>
  <c r="AO253"/>
  <c r="BA253"/>
  <c r="AZ253"/>
  <c r="AE253"/>
  <c r="AD253"/>
  <c r="L252"/>
  <c r="K253" s="1"/>
  <c r="I253" s="1"/>
  <c r="H252"/>
  <c r="E252"/>
  <c r="G252"/>
  <c r="D252"/>
  <c r="C252"/>
  <c r="B252"/>
  <c r="AT251"/>
  <c r="AR251"/>
  <c r="AO251"/>
  <c r="BA251"/>
  <c r="AZ251"/>
  <c r="AE251"/>
  <c r="AD251"/>
  <c r="L250"/>
  <c r="K251" s="1"/>
  <c r="I251" s="1"/>
  <c r="H250"/>
  <c r="E250"/>
  <c r="G250"/>
  <c r="D250"/>
  <c r="C250"/>
  <c r="B250"/>
  <c r="AT249"/>
  <c r="L266" s="1"/>
  <c r="AR249"/>
  <c r="L261" s="1"/>
  <c r="AO249"/>
  <c r="L264" s="1"/>
  <c r="L262" s="1"/>
  <c r="BA249"/>
  <c r="L275" s="1"/>
  <c r="AZ249"/>
  <c r="L274" s="1"/>
  <c r="AE249"/>
  <c r="AD249"/>
  <c r="L248"/>
  <c r="K249" s="1"/>
  <c r="I249" s="1"/>
  <c r="H248"/>
  <c r="E248"/>
  <c r="G248"/>
  <c r="D248"/>
  <c r="C248"/>
  <c r="B248"/>
  <c r="L245"/>
  <c r="C245"/>
  <c r="L244"/>
  <c r="C244"/>
  <c r="L240"/>
  <c r="L239"/>
  <c r="L236"/>
  <c r="L234"/>
  <c r="L233"/>
  <c r="L231" s="1"/>
  <c r="L227"/>
  <c r="L226"/>
  <c r="L222"/>
  <c r="AW212"/>
  <c r="AT212"/>
  <c r="AO212"/>
  <c r="AE212"/>
  <c r="AD212"/>
  <c r="G211"/>
  <c r="E211"/>
  <c r="G210"/>
  <c r="E210"/>
  <c r="BA208"/>
  <c r="AZ208"/>
  <c r="AE208"/>
  <c r="AD208"/>
  <c r="E208"/>
  <c r="G208"/>
  <c r="D208"/>
  <c r="C208"/>
  <c r="B208"/>
  <c r="L206"/>
  <c r="L205" s="1"/>
  <c r="J206"/>
  <c r="G206"/>
  <c r="C204"/>
  <c r="E203"/>
  <c r="G203"/>
  <c r="D203"/>
  <c r="C203"/>
  <c r="AE202"/>
  <c r="AD202"/>
  <c r="G201"/>
  <c r="E201"/>
  <c r="G200"/>
  <c r="E200"/>
  <c r="BA198"/>
  <c r="AZ198"/>
  <c r="AE198"/>
  <c r="AD198"/>
  <c r="E198"/>
  <c r="G198"/>
  <c r="D198"/>
  <c r="C198"/>
  <c r="B198"/>
  <c r="L195"/>
  <c r="AW202" s="1"/>
  <c r="L196"/>
  <c r="I196"/>
  <c r="H196"/>
  <c r="J196" s="1"/>
  <c r="G196"/>
  <c r="L194"/>
  <c r="J194"/>
  <c r="G194"/>
  <c r="E194"/>
  <c r="L193"/>
  <c r="J193"/>
  <c r="G193"/>
  <c r="L192"/>
  <c r="L190" s="1"/>
  <c r="J192"/>
  <c r="G192"/>
  <c r="E192"/>
  <c r="L191"/>
  <c r="J191"/>
  <c r="G191"/>
  <c r="L188"/>
  <c r="L187" s="1"/>
  <c r="J188"/>
  <c r="G188"/>
  <c r="E186"/>
  <c r="G186"/>
  <c r="D186"/>
  <c r="C186"/>
  <c r="L183"/>
  <c r="C183"/>
  <c r="L182"/>
  <c r="C182"/>
  <c r="G180"/>
  <c r="G179"/>
  <c r="L178"/>
  <c r="L177"/>
  <c r="L174"/>
  <c r="L172"/>
  <c r="L171"/>
  <c r="L169" s="1"/>
  <c r="L168"/>
  <c r="L165"/>
  <c r="L164"/>
  <c r="L160"/>
  <c r="L157"/>
  <c r="AW150"/>
  <c r="AT150"/>
  <c r="AR150"/>
  <c r="AO150"/>
  <c r="AN150"/>
  <c r="BA150"/>
  <c r="AZ150"/>
  <c r="AE150"/>
  <c r="AD150"/>
  <c r="L149"/>
  <c r="K150" s="1"/>
  <c r="I150" s="1"/>
  <c r="H149"/>
  <c r="E149"/>
  <c r="G149"/>
  <c r="D149"/>
  <c r="C149"/>
  <c r="B149"/>
  <c r="AW148"/>
  <c r="AT148"/>
  <c r="AR148"/>
  <c r="AO148"/>
  <c r="AN148"/>
  <c r="BA148"/>
  <c r="AZ148"/>
  <c r="AE148"/>
  <c r="AD148"/>
  <c r="L147"/>
  <c r="K148" s="1"/>
  <c r="I148" s="1"/>
  <c r="H147"/>
  <c r="E147"/>
  <c r="G147"/>
  <c r="D147"/>
  <c r="C147"/>
  <c r="B147"/>
  <c r="AW146"/>
  <c r="AT146"/>
  <c r="AR146"/>
  <c r="AO146"/>
  <c r="AN146"/>
  <c r="BA146"/>
  <c r="AZ146"/>
  <c r="AE146"/>
  <c r="AD146"/>
  <c r="L145"/>
  <c r="K146" s="1"/>
  <c r="I146" s="1"/>
  <c r="H145"/>
  <c r="E145"/>
  <c r="G145"/>
  <c r="D145"/>
  <c r="C145"/>
  <c r="B145"/>
  <c r="AW144"/>
  <c r="AT144"/>
  <c r="AR144"/>
  <c r="AO144"/>
  <c r="AN144"/>
  <c r="BA144"/>
  <c r="AZ144"/>
  <c r="AE144"/>
  <c r="AD144"/>
  <c r="L143"/>
  <c r="K144" s="1"/>
  <c r="I144" s="1"/>
  <c r="H143"/>
  <c r="E143"/>
  <c r="G143"/>
  <c r="D143"/>
  <c r="C143"/>
  <c r="B143"/>
  <c r="AW142"/>
  <c r="AT142"/>
  <c r="AR142"/>
  <c r="AO142"/>
  <c r="AN142"/>
  <c r="BA142"/>
  <c r="AZ142"/>
  <c r="AE142"/>
  <c r="AD142"/>
  <c r="L141"/>
  <c r="K142" s="1"/>
  <c r="I142" s="1"/>
  <c r="H141"/>
  <c r="E141"/>
  <c r="G141"/>
  <c r="D141"/>
  <c r="C141"/>
  <c r="B141"/>
  <c r="AW140"/>
  <c r="AT140"/>
  <c r="L641" s="1"/>
  <c r="AR140"/>
  <c r="L636" s="1"/>
  <c r="AO140"/>
  <c r="L639" s="1"/>
  <c r="L637" s="1"/>
  <c r="AN140"/>
  <c r="BA140"/>
  <c r="L650" s="1"/>
  <c r="AZ140"/>
  <c r="L649" s="1"/>
  <c r="AE140"/>
  <c r="AD140"/>
  <c r="L139"/>
  <c r="K140" s="1"/>
  <c r="I140" s="1"/>
  <c r="H139"/>
  <c r="E139"/>
  <c r="G139"/>
  <c r="D139"/>
  <c r="C139"/>
  <c r="B139"/>
  <c r="L136"/>
  <c r="C136"/>
  <c r="L135"/>
  <c r="C135"/>
  <c r="L131"/>
  <c r="L130"/>
  <c r="L127"/>
  <c r="L125"/>
  <c r="L124"/>
  <c r="L122" s="1"/>
  <c r="L118"/>
  <c r="L117"/>
  <c r="L113"/>
  <c r="AW103"/>
  <c r="AT103"/>
  <c r="AO103"/>
  <c r="AE103"/>
  <c r="AD103"/>
  <c r="G102"/>
  <c r="E102"/>
  <c r="G101"/>
  <c r="E101"/>
  <c r="BA99"/>
  <c r="AZ99"/>
  <c r="AE99"/>
  <c r="AD99"/>
  <c r="E99"/>
  <c r="G99"/>
  <c r="D99"/>
  <c r="C99"/>
  <c r="B99"/>
  <c r="L97"/>
  <c r="L96" s="1"/>
  <c r="J97"/>
  <c r="G97"/>
  <c r="C95"/>
  <c r="E94"/>
  <c r="G94"/>
  <c r="D94"/>
  <c r="C94"/>
  <c r="AE93"/>
  <c r="AD93"/>
  <c r="G92"/>
  <c r="E92"/>
  <c r="G91"/>
  <c r="E91"/>
  <c r="BA89"/>
  <c r="AZ89"/>
  <c r="AE89"/>
  <c r="AD89"/>
  <c r="E89"/>
  <c r="G89"/>
  <c r="D89"/>
  <c r="C89"/>
  <c r="B89"/>
  <c r="L81"/>
  <c r="AW93" s="1"/>
  <c r="L87"/>
  <c r="I87"/>
  <c r="H87"/>
  <c r="J87" s="1"/>
  <c r="G87"/>
  <c r="F87"/>
  <c r="L86"/>
  <c r="J86"/>
  <c r="G86"/>
  <c r="F86"/>
  <c r="L85"/>
  <c r="I85"/>
  <c r="H85"/>
  <c r="J85" s="1"/>
  <c r="G85"/>
  <c r="F85"/>
  <c r="L84"/>
  <c r="I84"/>
  <c r="H84"/>
  <c r="J84" s="1"/>
  <c r="G84"/>
  <c r="F84"/>
  <c r="L83"/>
  <c r="I83"/>
  <c r="H83"/>
  <c r="J83" s="1"/>
  <c r="G83"/>
  <c r="F83"/>
  <c r="L82"/>
  <c r="I82"/>
  <c r="H82"/>
  <c r="J82" s="1"/>
  <c r="G82"/>
  <c r="F82"/>
  <c r="L80"/>
  <c r="J80"/>
  <c r="G80"/>
  <c r="L79"/>
  <c r="J79"/>
  <c r="G79"/>
  <c r="E79"/>
  <c r="L78"/>
  <c r="J78"/>
  <c r="G78"/>
  <c r="L77"/>
  <c r="L75" s="1"/>
  <c r="J77"/>
  <c r="G77"/>
  <c r="E77"/>
  <c r="L76"/>
  <c r="J76"/>
  <c r="G76"/>
  <c r="L73"/>
  <c r="L72" s="1"/>
  <c r="J73"/>
  <c r="G73"/>
  <c r="E71"/>
  <c r="G71"/>
  <c r="D71"/>
  <c r="AE70"/>
  <c r="AD70"/>
  <c r="G69"/>
  <c r="E69"/>
  <c r="G68"/>
  <c r="E68"/>
  <c r="BA66"/>
  <c r="AZ66"/>
  <c r="AE66"/>
  <c r="AD66"/>
  <c r="E66"/>
  <c r="G66"/>
  <c r="D66"/>
  <c r="C66"/>
  <c r="B66"/>
  <c r="L63"/>
  <c r="AW70" s="1"/>
  <c r="L64"/>
  <c r="I64"/>
  <c r="H64"/>
  <c r="J64" s="1"/>
  <c r="G64"/>
  <c r="L62"/>
  <c r="J62"/>
  <c r="G62"/>
  <c r="E62"/>
  <c r="L61"/>
  <c r="J61"/>
  <c r="G61"/>
  <c r="L60"/>
  <c r="L58" s="1"/>
  <c r="J60"/>
  <c r="G60"/>
  <c r="E60"/>
  <c r="L59"/>
  <c r="J59"/>
  <c r="G59"/>
  <c r="L56"/>
  <c r="L55" s="1"/>
  <c r="J56"/>
  <c r="G56"/>
  <c r="E54"/>
  <c r="G54"/>
  <c r="D54"/>
  <c r="C54"/>
  <c r="A27"/>
  <c r="A25"/>
  <c r="A22"/>
  <c r="F16"/>
  <c r="F14"/>
  <c r="F6"/>
  <c r="CO4"/>
  <c r="F4"/>
  <c r="A1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" i="3"/>
  <c r="Y1"/>
  <c r="CU1"/>
  <c r="CV1"/>
  <c r="CX1"/>
  <c r="CY1"/>
  <c r="CZ1"/>
  <c r="DA1"/>
  <c r="DB1"/>
  <c r="DC1"/>
  <c r="DF1"/>
  <c r="DG1"/>
  <c r="DH1"/>
  <c r="DI1"/>
  <c r="DJ1" s="1"/>
  <c r="A2"/>
  <c r="Y2"/>
  <c r="CX2" s="1"/>
  <c r="CY2"/>
  <c r="CZ2"/>
  <c r="DA2"/>
  <c r="DB2"/>
  <c r="DC2"/>
  <c r="A3"/>
  <c r="Y3"/>
  <c r="CW3" s="1"/>
  <c r="CX3"/>
  <c r="DG3" s="1"/>
  <c r="CY3"/>
  <c r="CZ3"/>
  <c r="DA3"/>
  <c r="DB3"/>
  <c r="DC3"/>
  <c r="DF3"/>
  <c r="A4"/>
  <c r="Y4"/>
  <c r="CW4" s="1"/>
  <c r="CX4"/>
  <c r="DG4" s="1"/>
  <c r="CY4"/>
  <c r="CZ4"/>
  <c r="DA4"/>
  <c r="DB4"/>
  <c r="DC4"/>
  <c r="DF4"/>
  <c r="DH4"/>
  <c r="A5"/>
  <c r="Y5"/>
  <c r="CX5" s="1"/>
  <c r="CY5"/>
  <c r="CZ5"/>
  <c r="DA5"/>
  <c r="DB5"/>
  <c r="DC5"/>
  <c r="A6"/>
  <c r="Y6"/>
  <c r="CX6"/>
  <c r="DG6" s="1"/>
  <c r="CY6"/>
  <c r="CZ6"/>
  <c r="DA6"/>
  <c r="DB6"/>
  <c r="DC6"/>
  <c r="DF6"/>
  <c r="DJ6"/>
  <c r="A7"/>
  <c r="Y7"/>
  <c r="CX7" s="1"/>
  <c r="CU7"/>
  <c r="CV7"/>
  <c r="CY7"/>
  <c r="CZ7"/>
  <c r="DA7"/>
  <c r="DB7"/>
  <c r="DC7"/>
  <c r="A8"/>
  <c r="Y8"/>
  <c r="CX8"/>
  <c r="DG8" s="1"/>
  <c r="CY8"/>
  <c r="CZ8"/>
  <c r="DA8"/>
  <c r="DB8"/>
  <c r="DC8"/>
  <c r="DF8"/>
  <c r="A9"/>
  <c r="Y9"/>
  <c r="CW9" s="1"/>
  <c r="CX9"/>
  <c r="DG9" s="1"/>
  <c r="CY9"/>
  <c r="CZ9"/>
  <c r="DA9"/>
  <c r="DB9"/>
  <c r="DC9"/>
  <c r="DF9"/>
  <c r="A10"/>
  <c r="Y10"/>
  <c r="CW10" s="1"/>
  <c r="CX10"/>
  <c r="DG10" s="1"/>
  <c r="CY10"/>
  <c r="CZ10"/>
  <c r="DA10"/>
  <c r="DB10"/>
  <c r="DC10"/>
  <c r="DF10"/>
  <c r="A11"/>
  <c r="Y11"/>
  <c r="CW11" s="1"/>
  <c r="CX11"/>
  <c r="DG11" s="1"/>
  <c r="CY11"/>
  <c r="CZ11"/>
  <c r="DA11"/>
  <c r="DB11"/>
  <c r="DC11"/>
  <c r="DF11"/>
  <c r="A12"/>
  <c r="Y12"/>
  <c r="CX12" s="1"/>
  <c r="CY12"/>
  <c r="CZ12"/>
  <c r="DA12"/>
  <c r="DB12"/>
  <c r="DC12"/>
  <c r="A13"/>
  <c r="Y13"/>
  <c r="CX13"/>
  <c r="DG13" s="1"/>
  <c r="CY13"/>
  <c r="CZ13"/>
  <c r="DA13"/>
  <c r="DB13"/>
  <c r="DC13"/>
  <c r="DF13"/>
  <c r="DH13"/>
  <c r="DJ13"/>
  <c r="A14"/>
  <c r="Y14"/>
  <c r="CX14" s="1"/>
  <c r="CY14"/>
  <c r="CZ14"/>
  <c r="DA14"/>
  <c r="DB14"/>
  <c r="DC14"/>
  <c r="A15"/>
  <c r="Y15"/>
  <c r="CX15"/>
  <c r="DG15" s="1"/>
  <c r="CY15"/>
  <c r="CZ15"/>
  <c r="DA15"/>
  <c r="DB15"/>
  <c r="DC15"/>
  <c r="DF15"/>
  <c r="DH15"/>
  <c r="DJ15"/>
  <c r="A16"/>
  <c r="Y16"/>
  <c r="CX16" s="1"/>
  <c r="CY16"/>
  <c r="CZ16"/>
  <c r="DA16"/>
  <c r="DB16"/>
  <c r="DC16"/>
  <c r="A17"/>
  <c r="Y17"/>
  <c r="CX17"/>
  <c r="DG17" s="1"/>
  <c r="CY17"/>
  <c r="CZ17"/>
  <c r="DA17"/>
  <c r="DB17"/>
  <c r="DC17"/>
  <c r="DF17"/>
  <c r="DH17"/>
  <c r="DJ17"/>
  <c r="A18"/>
  <c r="Y18"/>
  <c r="CX18" s="1"/>
  <c r="CY18"/>
  <c r="CZ18"/>
  <c r="DA18"/>
  <c r="DB18"/>
  <c r="DC18"/>
  <c r="A19"/>
  <c r="Y19"/>
  <c r="CY19"/>
  <c r="CZ19"/>
  <c r="DA19"/>
  <c r="DB19"/>
  <c r="DC19"/>
  <c r="A20"/>
  <c r="Y20"/>
  <c r="CY20"/>
  <c r="CZ20"/>
  <c r="DA20"/>
  <c r="DB20"/>
  <c r="DC20"/>
  <c r="A21"/>
  <c r="Y21"/>
  <c r="CU21"/>
  <c r="CV21"/>
  <c r="CX21"/>
  <c r="DG21" s="1"/>
  <c r="CY21"/>
  <c r="CZ21"/>
  <c r="DA21"/>
  <c r="DB21"/>
  <c r="DC21"/>
  <c r="DF21"/>
  <c r="DH21"/>
  <c r="A22"/>
  <c r="Y22"/>
  <c r="CX22" s="1"/>
  <c r="CY22"/>
  <c r="CZ22"/>
  <c r="DA22"/>
  <c r="DB22"/>
  <c r="DC22"/>
  <c r="A23"/>
  <c r="Y23"/>
  <c r="CW23"/>
  <c r="CX23"/>
  <c r="CY23"/>
  <c r="CZ23"/>
  <c r="DA23"/>
  <c r="DB23"/>
  <c r="DC23"/>
  <c r="DF23"/>
  <c r="DG23"/>
  <c r="DJ23" s="1"/>
  <c r="DH23"/>
  <c r="DI23"/>
  <c r="A24"/>
  <c r="Y24"/>
  <c r="CW24"/>
  <c r="CX24"/>
  <c r="DG24" s="1"/>
  <c r="DJ24" s="1"/>
  <c r="CY24"/>
  <c r="CZ24"/>
  <c r="DA24"/>
  <c r="DB24"/>
  <c r="DC24"/>
  <c r="DF24"/>
  <c r="DH24"/>
  <c r="A25"/>
  <c r="Y25"/>
  <c r="CX25"/>
  <c r="DG25" s="1"/>
  <c r="CY25"/>
  <c r="CZ25"/>
  <c r="DA25"/>
  <c r="DB25"/>
  <c r="DC25"/>
  <c r="DF25"/>
  <c r="DJ25"/>
  <c r="A26"/>
  <c r="Y26"/>
  <c r="CX26" s="1"/>
  <c r="CY26"/>
  <c r="CZ26"/>
  <c r="DA26"/>
  <c r="DB26"/>
  <c r="DC26"/>
  <c r="A27"/>
  <c r="Y27"/>
  <c r="CY27"/>
  <c r="CZ27"/>
  <c r="DA27"/>
  <c r="DB27"/>
  <c r="DC27"/>
  <c r="A28"/>
  <c r="Y28"/>
  <c r="CY28"/>
  <c r="CZ28"/>
  <c r="DA28"/>
  <c r="DB28"/>
  <c r="DC28"/>
  <c r="A29"/>
  <c r="Y29"/>
  <c r="CU29"/>
  <c r="CV29"/>
  <c r="CX29"/>
  <c r="DG29" s="1"/>
  <c r="CY29"/>
  <c r="CZ29"/>
  <c r="DA29"/>
  <c r="DB29"/>
  <c r="DC29"/>
  <c r="DF29"/>
  <c r="A30"/>
  <c r="Y30"/>
  <c r="CX30" s="1"/>
  <c r="CY30"/>
  <c r="CZ30"/>
  <c r="DA30"/>
  <c r="DB30"/>
  <c r="DC30"/>
  <c r="A31"/>
  <c r="Y31"/>
  <c r="CW31"/>
  <c r="CX31"/>
  <c r="DG31" s="1"/>
  <c r="DJ31" s="1"/>
  <c r="CY31"/>
  <c r="CZ31"/>
  <c r="DA31"/>
  <c r="DB31"/>
  <c r="DC31"/>
  <c r="DF31"/>
  <c r="DH31"/>
  <c r="A32"/>
  <c r="Y32"/>
  <c r="CW32"/>
  <c r="CX32"/>
  <c r="CY32"/>
  <c r="CZ32"/>
  <c r="DA32"/>
  <c r="DB32"/>
  <c r="DC32"/>
  <c r="DF32"/>
  <c r="DG32"/>
  <c r="DJ32" s="1"/>
  <c r="DH32"/>
  <c r="DI32"/>
  <c r="A33"/>
  <c r="Y33"/>
  <c r="CW33"/>
  <c r="CX33"/>
  <c r="DG33" s="1"/>
  <c r="DJ33" s="1"/>
  <c r="CY33"/>
  <c r="CZ33"/>
  <c r="DA33"/>
  <c r="DB33"/>
  <c r="DC33"/>
  <c r="DF33"/>
  <c r="DH33"/>
  <c r="A34"/>
  <c r="Y34"/>
  <c r="CX34"/>
  <c r="DG34" s="1"/>
  <c r="CY34"/>
  <c r="CZ34"/>
  <c r="DA34"/>
  <c r="DB34"/>
  <c r="DC34"/>
  <c r="DF34"/>
  <c r="DJ34"/>
  <c r="A35"/>
  <c r="Y35"/>
  <c r="CX35" s="1"/>
  <c r="CY35"/>
  <c r="CZ35"/>
  <c r="DA35"/>
  <c r="DB35"/>
  <c r="DC35"/>
  <c r="A36"/>
  <c r="Y36"/>
  <c r="CX36"/>
  <c r="DG36" s="1"/>
  <c r="CY36"/>
  <c r="CZ36"/>
  <c r="DA36"/>
  <c r="DB36"/>
  <c r="DC36"/>
  <c r="DF36"/>
  <c r="DJ36"/>
  <c r="A37"/>
  <c r="Y37"/>
  <c r="CX37" s="1"/>
  <c r="CY37"/>
  <c r="CZ37"/>
  <c r="DA37"/>
  <c r="DB37"/>
  <c r="DC37"/>
  <c r="A38"/>
  <c r="Y38"/>
  <c r="CX38"/>
  <c r="DG38" s="1"/>
  <c r="CY38"/>
  <c r="CZ38"/>
  <c r="DA38"/>
  <c r="DB38"/>
  <c r="DC38"/>
  <c r="DF38"/>
  <c r="DJ38"/>
  <c r="A39"/>
  <c r="Y39"/>
  <c r="CX39" s="1"/>
  <c r="CU39"/>
  <c r="CV39"/>
  <c r="CY39"/>
  <c r="CZ39"/>
  <c r="DA39"/>
  <c r="DB39"/>
  <c r="DC39"/>
  <c r="A40"/>
  <c r="Y40"/>
  <c r="CU40"/>
  <c r="CV40"/>
  <c r="CX40"/>
  <c r="DG40" s="1"/>
  <c r="CY40"/>
  <c r="CZ40"/>
  <c r="DA40"/>
  <c r="DB40"/>
  <c r="DC40"/>
  <c r="DF40"/>
  <c r="A41"/>
  <c r="Y41"/>
  <c r="CX41" s="1"/>
  <c r="CY41"/>
  <c r="CZ41"/>
  <c r="DA41"/>
  <c r="DB41"/>
  <c r="DC41"/>
  <c r="A42"/>
  <c r="Y42"/>
  <c r="CU42"/>
  <c r="CV42"/>
  <c r="CX42"/>
  <c r="DG42" s="1"/>
  <c r="CY42"/>
  <c r="CZ42"/>
  <c r="DA42"/>
  <c r="DB42"/>
  <c r="DC42"/>
  <c r="DF42"/>
  <c r="DH42"/>
  <c r="A43"/>
  <c r="Y43"/>
  <c r="CX43" s="1"/>
  <c r="CY43"/>
  <c r="CZ43"/>
  <c r="DA43"/>
  <c r="DB43"/>
  <c r="DC43"/>
  <c r="A44"/>
  <c r="Y44"/>
  <c r="CW44"/>
  <c r="CX44"/>
  <c r="CY44"/>
  <c r="CZ44"/>
  <c r="DA44"/>
  <c r="DB44"/>
  <c r="DC44"/>
  <c r="DF44"/>
  <c r="DG44"/>
  <c r="DJ44" s="1"/>
  <c r="DH44"/>
  <c r="DI44"/>
  <c r="A45"/>
  <c r="Y45"/>
  <c r="CW45"/>
  <c r="CX45"/>
  <c r="DG45" s="1"/>
  <c r="DJ45" s="1"/>
  <c r="CY45"/>
  <c r="CZ45"/>
  <c r="DA45"/>
  <c r="DB45"/>
  <c r="DC45"/>
  <c r="DF45"/>
  <c r="DH45"/>
  <c r="A46"/>
  <c r="Y46"/>
  <c r="CX46"/>
  <c r="DG46" s="1"/>
  <c r="CY46"/>
  <c r="CZ46"/>
  <c r="DA46"/>
  <c r="DB46"/>
  <c r="DC46"/>
  <c r="DF46"/>
  <c r="DJ46"/>
  <c r="A47"/>
  <c r="Y47"/>
  <c r="CX47" s="1"/>
  <c r="CY47"/>
  <c r="CZ47"/>
  <c r="DA47"/>
  <c r="DB47"/>
  <c r="DC47"/>
  <c r="A48"/>
  <c r="Y48"/>
  <c r="CU48"/>
  <c r="CV48"/>
  <c r="CX48"/>
  <c r="DG48" s="1"/>
  <c r="CY48"/>
  <c r="CZ48"/>
  <c r="DA48"/>
  <c r="DB48"/>
  <c r="DC48"/>
  <c r="DF48"/>
  <c r="A49"/>
  <c r="Y49"/>
  <c r="CX49" s="1"/>
  <c r="CY49"/>
  <c r="CZ49"/>
  <c r="DA49"/>
  <c r="DB49"/>
  <c r="DC49"/>
  <c r="A50"/>
  <c r="Y50"/>
  <c r="CW50"/>
  <c r="CX50"/>
  <c r="DG50" s="1"/>
  <c r="DJ50" s="1"/>
  <c r="CY50"/>
  <c r="CZ50"/>
  <c r="DA50"/>
  <c r="DB50"/>
  <c r="DC50"/>
  <c r="DF50"/>
  <c r="DH50"/>
  <c r="A51"/>
  <c r="Y51"/>
  <c r="CW51"/>
  <c r="CX51"/>
  <c r="CY51"/>
  <c r="CZ51"/>
  <c r="DA51"/>
  <c r="DB51"/>
  <c r="DC51"/>
  <c r="DF51"/>
  <c r="DG51"/>
  <c r="DJ51" s="1"/>
  <c r="DH51"/>
  <c r="DI51"/>
  <c r="A52"/>
  <c r="Y52"/>
  <c r="CW52"/>
  <c r="CX52"/>
  <c r="DG52" s="1"/>
  <c r="DJ52" s="1"/>
  <c r="CY52"/>
  <c r="CZ52"/>
  <c r="DA52"/>
  <c r="DB52"/>
  <c r="DC52"/>
  <c r="DF52"/>
  <c r="DH52"/>
  <c r="A53"/>
  <c r="Y53"/>
  <c r="CX53"/>
  <c r="DG53" s="1"/>
  <c r="CY53"/>
  <c r="CZ53"/>
  <c r="DA53"/>
  <c r="DB53"/>
  <c r="DC53"/>
  <c r="DF53"/>
  <c r="DJ53"/>
  <c r="A54"/>
  <c r="Y54"/>
  <c r="CX54" s="1"/>
  <c r="CY54"/>
  <c r="CZ54"/>
  <c r="DA54"/>
  <c r="DB54"/>
  <c r="DC54"/>
  <c r="A55"/>
  <c r="Y55"/>
  <c r="CX55"/>
  <c r="DG55" s="1"/>
  <c r="CY55"/>
  <c r="CZ55"/>
  <c r="DA55"/>
  <c r="DB55"/>
  <c r="DC55"/>
  <c r="DF55"/>
  <c r="DJ55"/>
  <c r="A56"/>
  <c r="Y56"/>
  <c r="CX56" s="1"/>
  <c r="CU56"/>
  <c r="CV56"/>
  <c r="CY56"/>
  <c r="CZ56"/>
  <c r="DA56"/>
  <c r="DB56"/>
  <c r="DC56"/>
  <c r="A57"/>
  <c r="Y57"/>
  <c r="CX57"/>
  <c r="DG57" s="1"/>
  <c r="CY57"/>
  <c r="CZ57"/>
  <c r="DA57"/>
  <c r="DB57"/>
  <c r="DC57"/>
  <c r="DF57"/>
  <c r="A58"/>
  <c r="Y58"/>
  <c r="CW58" s="1"/>
  <c r="CX58"/>
  <c r="DG58" s="1"/>
  <c r="CY58"/>
  <c r="CZ58"/>
  <c r="DA58"/>
  <c r="DB58"/>
  <c r="DC58"/>
  <c r="DF58"/>
  <c r="A59"/>
  <c r="Y59"/>
  <c r="CW59" s="1"/>
  <c r="CX59"/>
  <c r="DG59" s="1"/>
  <c r="CY59"/>
  <c r="CZ59"/>
  <c r="DA59"/>
  <c r="DB59"/>
  <c r="DC59"/>
  <c r="DF59"/>
  <c r="A60"/>
  <c r="Y60"/>
  <c r="CW60" s="1"/>
  <c r="CX60"/>
  <c r="DG60" s="1"/>
  <c r="CY60"/>
  <c r="CZ60"/>
  <c r="DA60"/>
  <c r="DB60"/>
  <c r="DC60"/>
  <c r="DF60"/>
  <c r="A61"/>
  <c r="Y61"/>
  <c r="CW61" s="1"/>
  <c r="CX61"/>
  <c r="DG61" s="1"/>
  <c r="CY61"/>
  <c r="CZ61"/>
  <c r="DA61"/>
  <c r="DB61"/>
  <c r="DC61"/>
  <c r="DF61"/>
  <c r="A62"/>
  <c r="Y62"/>
  <c r="CX62" s="1"/>
  <c r="CY62"/>
  <c r="CZ62"/>
  <c r="DA62"/>
  <c r="DB62"/>
  <c r="DC62"/>
  <c r="A63"/>
  <c r="Y63"/>
  <c r="CX63"/>
  <c r="DG63" s="1"/>
  <c r="CY63"/>
  <c r="CZ63"/>
  <c r="DA63"/>
  <c r="DB63"/>
  <c r="DC63"/>
  <c r="DF63"/>
  <c r="DH63"/>
  <c r="DJ63"/>
  <c r="A64"/>
  <c r="Y64"/>
  <c r="CX64" s="1"/>
  <c r="CY64"/>
  <c r="CZ64"/>
  <c r="DA64"/>
  <c r="DB64"/>
  <c r="DC64"/>
  <c r="A65"/>
  <c r="Y65"/>
  <c r="CX65"/>
  <c r="DG65" s="1"/>
  <c r="CY65"/>
  <c r="CZ65"/>
  <c r="DA65"/>
  <c r="DB65"/>
  <c r="DC65"/>
  <c r="DF65"/>
  <c r="DH65"/>
  <c r="DJ65"/>
  <c r="A66"/>
  <c r="Y66"/>
  <c r="CX66" s="1"/>
  <c r="CY66"/>
  <c r="CZ66"/>
  <c r="DA66"/>
  <c r="DB66"/>
  <c r="DC66"/>
  <c r="A67"/>
  <c r="Y67"/>
  <c r="CX67"/>
  <c r="DG67" s="1"/>
  <c r="CY67"/>
  <c r="CZ67"/>
  <c r="DA67"/>
  <c r="DB67"/>
  <c r="DC67"/>
  <c r="DF67"/>
  <c r="DH67"/>
  <c r="DJ67"/>
  <c r="A68"/>
  <c r="Y68"/>
  <c r="CX68" s="1"/>
  <c r="CY68"/>
  <c r="CZ68"/>
  <c r="DA68"/>
  <c r="DB68"/>
  <c r="DC68"/>
  <c r="A69"/>
  <c r="Y69"/>
  <c r="CX69"/>
  <c r="DG69" s="1"/>
  <c r="CY69"/>
  <c r="CZ69"/>
  <c r="DA69"/>
  <c r="DB69"/>
  <c r="DC69"/>
  <c r="DF69"/>
  <c r="DH69"/>
  <c r="DJ69"/>
  <c r="A70"/>
  <c r="Y70"/>
  <c r="CX70" s="1"/>
  <c r="DI70" s="1"/>
  <c r="CY70"/>
  <c r="CZ70"/>
  <c r="DA70"/>
  <c r="DB70"/>
  <c r="DC70"/>
  <c r="DG70"/>
  <c r="A71"/>
  <c r="Y71"/>
  <c r="CX71"/>
  <c r="DH71" s="1"/>
  <c r="CY71"/>
  <c r="CZ71"/>
  <c r="DA71"/>
  <c r="DB71"/>
  <c r="DC71"/>
  <c r="DF71"/>
  <c r="DJ71" s="1"/>
  <c r="A72"/>
  <c r="Y72"/>
  <c r="CX72" s="1"/>
  <c r="DI72" s="1"/>
  <c r="CY72"/>
  <c r="CZ72"/>
  <c r="DA72"/>
  <c r="DB72"/>
  <c r="DC72"/>
  <c r="DG72"/>
  <c r="A73"/>
  <c r="Y73"/>
  <c r="CX73"/>
  <c r="DH73" s="1"/>
  <c r="CY73"/>
  <c r="CZ73"/>
  <c r="DA73"/>
  <c r="DB73"/>
  <c r="DC73"/>
  <c r="DF73"/>
  <c r="DJ73" s="1"/>
  <c r="A74"/>
  <c r="Y74"/>
  <c r="CX74" s="1"/>
  <c r="DI74" s="1"/>
  <c r="CY74"/>
  <c r="CZ74"/>
  <c r="DA74"/>
  <c r="DB74"/>
  <c r="DC74"/>
  <c r="DG74"/>
  <c r="A75"/>
  <c r="Y75"/>
  <c r="CU75"/>
  <c r="CV75"/>
  <c r="CX75"/>
  <c r="DH75" s="1"/>
  <c r="CY75"/>
  <c r="CZ75"/>
  <c r="DA75"/>
  <c r="DB75"/>
  <c r="DC75"/>
  <c r="DF75"/>
  <c r="A76"/>
  <c r="Y76"/>
  <c r="CW76" s="1"/>
  <c r="CY76"/>
  <c r="CZ76"/>
  <c r="DA76"/>
  <c r="DB76"/>
  <c r="DC76"/>
  <c r="A77"/>
  <c r="Y77"/>
  <c r="CX77" s="1"/>
  <c r="CY77"/>
  <c r="CZ77"/>
  <c r="DA77"/>
  <c r="DB77"/>
  <c r="DC77"/>
  <c r="DG77"/>
  <c r="DI77"/>
  <c r="A78"/>
  <c r="Y78"/>
  <c r="CX78"/>
  <c r="CY78"/>
  <c r="CZ78"/>
  <c r="DA78"/>
  <c r="DB78"/>
  <c r="DC78"/>
  <c r="DF78"/>
  <c r="DH78"/>
  <c r="DJ78"/>
  <c r="A79"/>
  <c r="Y79"/>
  <c r="CX79" s="1"/>
  <c r="CY79"/>
  <c r="CZ79"/>
  <c r="DA79"/>
  <c r="DB79"/>
  <c r="DC79"/>
  <c r="DG79"/>
  <c r="DI79"/>
  <c r="A80"/>
  <c r="Y80"/>
  <c r="CX80"/>
  <c r="CY80"/>
  <c r="CZ80"/>
  <c r="DA80"/>
  <c r="DB80"/>
  <c r="DC80"/>
  <c r="DF80"/>
  <c r="DH80"/>
  <c r="DJ80"/>
  <c r="A81"/>
  <c r="Y81"/>
  <c r="CX81" s="1"/>
  <c r="CY81"/>
  <c r="CZ81"/>
  <c r="DA81"/>
  <c r="DB81"/>
  <c r="DC81"/>
  <c r="DG81"/>
  <c r="DI81"/>
  <c r="A82"/>
  <c r="Y82"/>
  <c r="CX82"/>
  <c r="CY82"/>
  <c r="CZ82"/>
  <c r="DA82"/>
  <c r="DB82"/>
  <c r="DC82"/>
  <c r="DF82"/>
  <c r="DH82"/>
  <c r="DJ82"/>
  <c r="A83"/>
  <c r="Y83"/>
  <c r="CX83" s="1"/>
  <c r="CY83"/>
  <c r="CZ83"/>
  <c r="DA83"/>
  <c r="DB83"/>
  <c r="DC83"/>
  <c r="DG83"/>
  <c r="DI83"/>
  <c r="A84"/>
  <c r="Y84"/>
  <c r="CX84"/>
  <c r="CY84"/>
  <c r="CZ84"/>
  <c r="DA84"/>
  <c r="DB84"/>
  <c r="DC84"/>
  <c r="DF84"/>
  <c r="DH84"/>
  <c r="DJ84"/>
  <c r="A85"/>
  <c r="Y85"/>
  <c r="CX85" s="1"/>
  <c r="CY85"/>
  <c r="CZ85"/>
  <c r="DA85"/>
  <c r="DB85"/>
  <c r="DC85"/>
  <c r="DG85"/>
  <c r="DI85"/>
  <c r="A86"/>
  <c r="Y86"/>
  <c r="CX86"/>
  <c r="CY86"/>
  <c r="CZ86"/>
  <c r="DA86"/>
  <c r="DB86"/>
  <c r="DC86"/>
  <c r="DF86"/>
  <c r="DH86"/>
  <c r="DJ86"/>
  <c r="A87"/>
  <c r="Y87"/>
  <c r="CX87" s="1"/>
  <c r="CY87"/>
  <c r="CZ87"/>
  <c r="DA87"/>
  <c r="DB87"/>
  <c r="DC87"/>
  <c r="DG87"/>
  <c r="A88"/>
  <c r="Y88"/>
  <c r="CX88"/>
  <c r="CY88"/>
  <c r="CZ88"/>
  <c r="DA88"/>
  <c r="DB88"/>
  <c r="DC88"/>
  <c r="DF88"/>
  <c r="DJ88" s="1"/>
  <c r="A89"/>
  <c r="Y89"/>
  <c r="CX89" s="1"/>
  <c r="CY89"/>
  <c r="CZ89"/>
  <c r="DA89"/>
  <c r="DB89"/>
  <c r="DC89"/>
  <c r="DG89"/>
  <c r="A90"/>
  <c r="Y90"/>
  <c r="CY90"/>
  <c r="CZ90"/>
  <c r="DA90"/>
  <c r="DB90"/>
  <c r="DC90"/>
  <c r="A91"/>
  <c r="Y91"/>
  <c r="CY91"/>
  <c r="CZ91"/>
  <c r="DA91"/>
  <c r="DB91"/>
  <c r="DC91"/>
  <c r="A92"/>
  <c r="Y92"/>
  <c r="CY92"/>
  <c r="CZ92"/>
  <c r="DA92"/>
  <c r="DB92"/>
  <c r="DC92"/>
  <c r="A93"/>
  <c r="Y93"/>
  <c r="CY93"/>
  <c r="CZ93"/>
  <c r="DA93"/>
  <c r="DB93"/>
  <c r="DC93"/>
  <c r="A94"/>
  <c r="Y94"/>
  <c r="CY94"/>
  <c r="CZ94"/>
  <c r="DA94"/>
  <c r="DB94"/>
  <c r="DC94"/>
  <c r="A95"/>
  <c r="Y95"/>
  <c r="CY95"/>
  <c r="CZ95"/>
  <c r="DA95"/>
  <c r="DB95"/>
  <c r="DC95"/>
  <c r="A96"/>
  <c r="Y96"/>
  <c r="CY96"/>
  <c r="CZ96"/>
  <c r="DA96"/>
  <c r="DB96"/>
  <c r="DC96"/>
  <c r="A97"/>
  <c r="Y97"/>
  <c r="CY97"/>
  <c r="CZ97"/>
  <c r="DA97"/>
  <c r="DB97"/>
  <c r="DC97"/>
  <c r="A98"/>
  <c r="Y98"/>
  <c r="CY98"/>
  <c r="CZ98"/>
  <c r="DA98"/>
  <c r="DB98"/>
  <c r="DC98"/>
  <c r="A99"/>
  <c r="Y99"/>
  <c r="CY99"/>
  <c r="CZ99"/>
  <c r="DA99"/>
  <c r="DB99"/>
  <c r="DC99"/>
  <c r="A100"/>
  <c r="Y100"/>
  <c r="CY100"/>
  <c r="CZ100"/>
  <c r="DA100"/>
  <c r="DB100"/>
  <c r="DC100"/>
  <c r="A101"/>
  <c r="Y101"/>
  <c r="CY101"/>
  <c r="CZ101"/>
  <c r="DA101"/>
  <c r="DB101"/>
  <c r="DC101"/>
  <c r="A102"/>
  <c r="Y102"/>
  <c r="CY102"/>
  <c r="CZ102"/>
  <c r="DA102"/>
  <c r="DB102"/>
  <c r="DC102"/>
  <c r="A103"/>
  <c r="Y103"/>
  <c r="CY103"/>
  <c r="CZ103"/>
  <c r="DA103"/>
  <c r="DB103"/>
  <c r="DC103"/>
  <c r="A104"/>
  <c r="Y104"/>
  <c r="CY104"/>
  <c r="CZ104"/>
  <c r="DA104"/>
  <c r="DB104"/>
  <c r="DC104"/>
  <c r="A105"/>
  <c r="Y105"/>
  <c r="CY105"/>
  <c r="CZ105"/>
  <c r="DA105"/>
  <c r="DB105"/>
  <c r="DC105"/>
  <c r="A106"/>
  <c r="Y106"/>
  <c r="CY106"/>
  <c r="CZ106"/>
  <c r="DA106"/>
  <c r="DB106"/>
  <c r="DC106"/>
  <c r="A107"/>
  <c r="Y107"/>
  <c r="CY107"/>
  <c r="CZ107"/>
  <c r="DA107"/>
  <c r="DB107"/>
  <c r="DC107"/>
  <c r="A108"/>
  <c r="Y108"/>
  <c r="CY108"/>
  <c r="CZ108"/>
  <c r="DA108"/>
  <c r="DB108"/>
  <c r="DC108"/>
  <c r="A109"/>
  <c r="Y109"/>
  <c r="CY109"/>
  <c r="CZ109"/>
  <c r="DA109"/>
  <c r="DB109"/>
  <c r="DC109"/>
  <c r="A110"/>
  <c r="Y110"/>
  <c r="CY110"/>
  <c r="CZ110"/>
  <c r="DA110"/>
  <c r="DB110"/>
  <c r="DC110"/>
  <c r="A111"/>
  <c r="Y111"/>
  <c r="CY111"/>
  <c r="CZ111"/>
  <c r="DA111"/>
  <c r="DB111"/>
  <c r="DC111"/>
  <c r="A112"/>
  <c r="Y112"/>
  <c r="CU112"/>
  <c r="CV112"/>
  <c r="CX112"/>
  <c r="DG112" s="1"/>
  <c r="CY112"/>
  <c r="CZ112"/>
  <c r="DA112"/>
  <c r="DB112"/>
  <c r="DC112"/>
  <c r="DF112"/>
  <c r="DH112"/>
  <c r="A113"/>
  <c r="Y113"/>
  <c r="CU113"/>
  <c r="CV113"/>
  <c r="CX113"/>
  <c r="CY113"/>
  <c r="CZ113"/>
  <c r="DA113"/>
  <c r="DB113"/>
  <c r="DC113"/>
  <c r="DF113"/>
  <c r="DG113"/>
  <c r="DH113"/>
  <c r="DI113"/>
  <c r="DJ113" s="1"/>
  <c r="A114"/>
  <c r="Y114"/>
  <c r="CU114"/>
  <c r="CV114"/>
  <c r="CX114"/>
  <c r="DG114" s="1"/>
  <c r="CY114"/>
  <c r="CZ114"/>
  <c r="DA114"/>
  <c r="DB114"/>
  <c r="DC114"/>
  <c r="DF114"/>
  <c r="DH114"/>
  <c r="A115"/>
  <c r="Y115"/>
  <c r="CU115"/>
  <c r="CV115"/>
  <c r="CX115"/>
  <c r="CY115"/>
  <c r="CZ115"/>
  <c r="DA115"/>
  <c r="DB115"/>
  <c r="DC115"/>
  <c r="DF115"/>
  <c r="DG115"/>
  <c r="DH115"/>
  <c r="DI115"/>
  <c r="DJ115" s="1"/>
  <c r="A116"/>
  <c r="Y116"/>
  <c r="CU116"/>
  <c r="CV116"/>
  <c r="CX116"/>
  <c r="DG116" s="1"/>
  <c r="Q359" i="1" s="1"/>
  <c r="CY116" i="3"/>
  <c r="CZ116"/>
  <c r="DA116"/>
  <c r="DB116"/>
  <c r="DC116"/>
  <c r="DF116"/>
  <c r="DH116"/>
  <c r="A117"/>
  <c r="Y117"/>
  <c r="CU117"/>
  <c r="CV117"/>
  <c r="CX117"/>
  <c r="CY117"/>
  <c r="CZ117"/>
  <c r="DA117"/>
  <c r="DB117"/>
  <c r="DC117"/>
  <c r="DF117"/>
  <c r="DG117"/>
  <c r="DH117"/>
  <c r="DI117"/>
  <c r="DJ117" s="1"/>
  <c r="A118"/>
  <c r="Y118"/>
  <c r="CU118"/>
  <c r="CV118"/>
  <c r="CX118"/>
  <c r="DG118" s="1"/>
  <c r="Q360" i="1" s="1"/>
  <c r="CY118" i="3"/>
  <c r="CZ118"/>
  <c r="DA118"/>
  <c r="DB118"/>
  <c r="DC118"/>
  <c r="DF118"/>
  <c r="DH118"/>
  <c r="A119"/>
  <c r="Y119"/>
  <c r="CU119"/>
  <c r="CV119"/>
  <c r="CX119"/>
  <c r="DG119" s="1"/>
  <c r="CY119"/>
  <c r="CZ119"/>
  <c r="DA119"/>
  <c r="DB119"/>
  <c r="DC119"/>
  <c r="DF119"/>
  <c r="DH119"/>
  <c r="DI119"/>
  <c r="DJ119"/>
  <c r="A120"/>
  <c r="Y120"/>
  <c r="CX120" s="1"/>
  <c r="CU120"/>
  <c r="CV120"/>
  <c r="CY120"/>
  <c r="CZ120"/>
  <c r="DA120"/>
  <c r="DB120"/>
  <c r="DC12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G18"/>
  <c r="DH18"/>
  <c r="DI18"/>
  <c r="DJ18"/>
  <c r="DK18"/>
  <c r="DL18"/>
  <c r="DM18"/>
  <c r="DN18"/>
  <c r="DO18"/>
  <c r="DP18"/>
  <c r="DQ18"/>
  <c r="DR18"/>
  <c r="DS18"/>
  <c r="DT18"/>
  <c r="DU18"/>
  <c r="DV18"/>
  <c r="DW18"/>
  <c r="DX18"/>
  <c r="DY18"/>
  <c r="DZ18"/>
  <c r="EA18"/>
  <c r="EB18"/>
  <c r="EC18"/>
  <c r="ED18"/>
  <c r="EE18"/>
  <c r="EF18"/>
  <c r="EG18"/>
  <c r="EH18"/>
  <c r="EI18"/>
  <c r="EJ18"/>
  <c r="EK18"/>
  <c r="EL18"/>
  <c r="EM18"/>
  <c r="EN18"/>
  <c r="EO18"/>
  <c r="EP18"/>
  <c r="EQ18"/>
  <c r="ER18"/>
  <c r="ES18"/>
  <c r="ET18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DL22"/>
  <c r="DM22"/>
  <c r="DN22"/>
  <c r="DO22"/>
  <c r="DP22"/>
  <c r="DQ22"/>
  <c r="DR22"/>
  <c r="DS22"/>
  <c r="DT22"/>
  <c r="DU22"/>
  <c r="DV22"/>
  <c r="DW22"/>
  <c r="DX22"/>
  <c r="DY22"/>
  <c r="DZ22"/>
  <c r="EA22"/>
  <c r="EB22"/>
  <c r="EC22"/>
  <c r="ED22"/>
  <c r="EE22"/>
  <c r="EF22"/>
  <c r="EG22"/>
  <c r="EH22"/>
  <c r="EI22"/>
  <c r="EJ22"/>
  <c r="EK22"/>
  <c r="EL22"/>
  <c r="EM22"/>
  <c r="EN22"/>
  <c r="EO22"/>
  <c r="EP22"/>
  <c r="EQ22"/>
  <c r="ER22"/>
  <c r="ES22"/>
  <c r="ET22"/>
  <c r="EU22"/>
  <c r="EV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  <c r="DN26"/>
  <c r="DO26"/>
  <c r="DP26"/>
  <c r="DQ26"/>
  <c r="DR26"/>
  <c r="DS26"/>
  <c r="DT26"/>
  <c r="DU26"/>
  <c r="DV26"/>
  <c r="DW26"/>
  <c r="DX26"/>
  <c r="DY26"/>
  <c r="DZ26"/>
  <c r="EA26"/>
  <c r="EB26"/>
  <c r="EC26"/>
  <c r="ED26"/>
  <c r="EE26"/>
  <c r="EF26"/>
  <c r="EG26"/>
  <c r="EH26"/>
  <c r="EI26"/>
  <c r="EJ26"/>
  <c r="EK26"/>
  <c r="EL26"/>
  <c r="EM26"/>
  <c r="EN26"/>
  <c r="EO26"/>
  <c r="EP26"/>
  <c r="EQ26"/>
  <c r="ER26"/>
  <c r="ES26"/>
  <c r="ET26"/>
  <c r="EU26"/>
  <c r="EV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8"/>
  <c r="D28"/>
  <c r="U28"/>
  <c r="G55" i="6" s="1"/>
  <c r="V28" i="1"/>
  <c r="H46" i="7" s="1"/>
  <c r="AC28" i="1"/>
  <c r="AE28"/>
  <c r="AD28" s="1"/>
  <c r="AF28"/>
  <c r="AG28"/>
  <c r="AH28"/>
  <c r="AI28"/>
  <c r="AJ28"/>
  <c r="CQ28"/>
  <c r="CR28"/>
  <c r="CS28"/>
  <c r="CT28"/>
  <c r="CU28"/>
  <c r="T28" s="1"/>
  <c r="CV28"/>
  <c r="CW28"/>
  <c r="CX28"/>
  <c r="W28" s="1"/>
  <c r="FR28"/>
  <c r="GL28"/>
  <c r="GN28"/>
  <c r="GP28"/>
  <c r="GV28"/>
  <c r="HC28"/>
  <c r="GX28" s="1"/>
  <c r="I29"/>
  <c r="P29"/>
  <c r="O29" s="1"/>
  <c r="AC29"/>
  <c r="AD29"/>
  <c r="AE29"/>
  <c r="AF29"/>
  <c r="AG29"/>
  <c r="AH29"/>
  <c r="AI29"/>
  <c r="AJ29"/>
  <c r="CP29"/>
  <c r="CQ29"/>
  <c r="CR29"/>
  <c r="Q29" s="1"/>
  <c r="CS29"/>
  <c r="R29" s="1"/>
  <c r="CT29"/>
  <c r="S29" s="1"/>
  <c r="CU29"/>
  <c r="T29" s="1"/>
  <c r="CV29"/>
  <c r="U29" s="1"/>
  <c r="CW29"/>
  <c r="V29" s="1"/>
  <c r="CX29"/>
  <c r="W29" s="1"/>
  <c r="CY29"/>
  <c r="X29" s="1"/>
  <c r="CZ29"/>
  <c r="Y29" s="1"/>
  <c r="FR29"/>
  <c r="GL29"/>
  <c r="GN29"/>
  <c r="GO29"/>
  <c r="GV29"/>
  <c r="GX29"/>
  <c r="HC29"/>
  <c r="C30"/>
  <c r="D30"/>
  <c r="U30"/>
  <c r="H60" i="7" s="1"/>
  <c r="V30" i="1"/>
  <c r="H63" i="7" s="1"/>
  <c r="AC30" i="1"/>
  <c r="AE30"/>
  <c r="AD30" s="1"/>
  <c r="AF30"/>
  <c r="AG30"/>
  <c r="AH30"/>
  <c r="AI30"/>
  <c r="AJ30"/>
  <c r="CQ30"/>
  <c r="CR30"/>
  <c r="CS30"/>
  <c r="CT30"/>
  <c r="CU30"/>
  <c r="T30" s="1"/>
  <c r="CV30"/>
  <c r="CW30"/>
  <c r="CX30"/>
  <c r="W30" s="1"/>
  <c r="FR30"/>
  <c r="GL30"/>
  <c r="GN30"/>
  <c r="GP30"/>
  <c r="GV30"/>
  <c r="GX30"/>
  <c r="HC30"/>
  <c r="I31"/>
  <c r="P31"/>
  <c r="O31" s="1"/>
  <c r="AC31"/>
  <c r="AD31"/>
  <c r="AE31"/>
  <c r="AF31"/>
  <c r="AG31"/>
  <c r="AH31"/>
  <c r="AI31"/>
  <c r="AJ31"/>
  <c r="CP31"/>
  <c r="CQ31"/>
  <c r="CR31"/>
  <c r="Q31" s="1"/>
  <c r="CS31"/>
  <c r="R31" s="1"/>
  <c r="CT31"/>
  <c r="S31" s="1"/>
  <c r="CU31"/>
  <c r="T31" s="1"/>
  <c r="CV31"/>
  <c r="U31" s="1"/>
  <c r="CW31"/>
  <c r="V31" s="1"/>
  <c r="CX31"/>
  <c r="W31" s="1"/>
  <c r="CY31"/>
  <c r="X31" s="1"/>
  <c r="CZ31"/>
  <c r="Y31" s="1"/>
  <c r="FR31"/>
  <c r="GL31"/>
  <c r="GN31"/>
  <c r="GO31"/>
  <c r="GV31"/>
  <c r="HC31"/>
  <c r="GX31" s="1"/>
  <c r="C32"/>
  <c r="D32"/>
  <c r="I32"/>
  <c r="K32"/>
  <c r="V32"/>
  <c r="AC32"/>
  <c r="AD32"/>
  <c r="AE32"/>
  <c r="AF32"/>
  <c r="AG32"/>
  <c r="AH32"/>
  <c r="AI32"/>
  <c r="AJ32"/>
  <c r="CX32" s="1"/>
  <c r="W32" s="1"/>
  <c r="CQ32"/>
  <c r="CR32"/>
  <c r="CS32"/>
  <c r="CT32"/>
  <c r="CU32"/>
  <c r="T32" s="1"/>
  <c r="CV32"/>
  <c r="CW32"/>
  <c r="FR32"/>
  <c r="GL32"/>
  <c r="GN32"/>
  <c r="CB35" s="1"/>
  <c r="CB26" s="1"/>
  <c r="GP32"/>
  <c r="GV32"/>
  <c r="HC32"/>
  <c r="GX32" s="1"/>
  <c r="I33"/>
  <c r="AC33"/>
  <c r="AB33" s="1"/>
  <c r="AE33"/>
  <c r="AD33" s="1"/>
  <c r="AF33"/>
  <c r="AG33"/>
  <c r="AH33"/>
  <c r="AI33"/>
  <c r="AJ33"/>
  <c r="CP33"/>
  <c r="CQ33"/>
  <c r="CR33"/>
  <c r="Q33" s="1"/>
  <c r="CS33"/>
  <c r="R33" s="1"/>
  <c r="CT33"/>
  <c r="S33" s="1"/>
  <c r="CU33"/>
  <c r="T33" s="1"/>
  <c r="CV33"/>
  <c r="U33" s="1"/>
  <c r="CW33"/>
  <c r="V33" s="1"/>
  <c r="CX33"/>
  <c r="W33" s="1"/>
  <c r="CY33"/>
  <c r="X33" s="1"/>
  <c r="CZ33"/>
  <c r="Y33" s="1"/>
  <c r="FR33"/>
  <c r="GL33"/>
  <c r="BZ35" s="1"/>
  <c r="GN33"/>
  <c r="GO33"/>
  <c r="GV33"/>
  <c r="GX33"/>
  <c r="HC33"/>
  <c r="B35"/>
  <c r="B26" s="1"/>
  <c r="C35"/>
  <c r="C26" s="1"/>
  <c r="D35"/>
  <c r="D26" s="1"/>
  <c r="F35"/>
  <c r="F26" s="1"/>
  <c r="G35"/>
  <c r="G26" s="1"/>
  <c r="BX35"/>
  <c r="BX26" s="1"/>
  <c r="BY35"/>
  <c r="AP35" s="1"/>
  <c r="CK35"/>
  <c r="BB35" s="1"/>
  <c r="CL35"/>
  <c r="CL26" s="1"/>
  <c r="CM35"/>
  <c r="BD35" s="1"/>
  <c r="F64"/>
  <c r="F65"/>
  <c r="F66"/>
  <c r="F67"/>
  <c r="F68" s="1"/>
  <c r="F69" s="1"/>
  <c r="F70"/>
  <c r="F71"/>
  <c r="F72" s="1"/>
  <c r="D77"/>
  <c r="E79"/>
  <c r="Z79"/>
  <c r="AA79"/>
  <c r="AM79"/>
  <c r="AN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CN79"/>
  <c r="CO79"/>
  <c r="CP79"/>
  <c r="CQ79"/>
  <c r="CR79"/>
  <c r="CS79"/>
  <c r="CT79"/>
  <c r="CU79"/>
  <c r="CV79"/>
  <c r="CW79"/>
  <c r="CX79"/>
  <c r="CY79"/>
  <c r="CZ79"/>
  <c r="DA79"/>
  <c r="DB79"/>
  <c r="DC79"/>
  <c r="DD79"/>
  <c r="DE79"/>
  <c r="DF79"/>
  <c r="DG79"/>
  <c r="DH79"/>
  <c r="DI79"/>
  <c r="DJ79"/>
  <c r="DK79"/>
  <c r="DL79"/>
  <c r="DM79"/>
  <c r="DN79"/>
  <c r="DO79"/>
  <c r="DP79"/>
  <c r="DQ79"/>
  <c r="DR79"/>
  <c r="DS79"/>
  <c r="DT79"/>
  <c r="DU79"/>
  <c r="DV79"/>
  <c r="DW79"/>
  <c r="DX79"/>
  <c r="DY79"/>
  <c r="DZ79"/>
  <c r="EA79"/>
  <c r="EB79"/>
  <c r="EC79"/>
  <c r="ED79"/>
  <c r="EE79"/>
  <c r="EF79"/>
  <c r="EG79"/>
  <c r="EH79"/>
  <c r="EI79"/>
  <c r="EJ79"/>
  <c r="EK79"/>
  <c r="EL79"/>
  <c r="EM79"/>
  <c r="EN79"/>
  <c r="EO79"/>
  <c r="EP79"/>
  <c r="EQ79"/>
  <c r="ER79"/>
  <c r="ES79"/>
  <c r="ET79"/>
  <c r="EU79"/>
  <c r="EV79"/>
  <c r="EW79"/>
  <c r="EX79"/>
  <c r="EY79"/>
  <c r="EZ79"/>
  <c r="FA79"/>
  <c r="FB79"/>
  <c r="FC79"/>
  <c r="FD79"/>
  <c r="FE79"/>
  <c r="FF79"/>
  <c r="FG79"/>
  <c r="FH79"/>
  <c r="FI79"/>
  <c r="FJ79"/>
  <c r="FK79"/>
  <c r="FL79"/>
  <c r="FM79"/>
  <c r="FN79"/>
  <c r="FO79"/>
  <c r="FP79"/>
  <c r="FQ79"/>
  <c r="FR79"/>
  <c r="FS79"/>
  <c r="FT79"/>
  <c r="FU79"/>
  <c r="FV79"/>
  <c r="FW79"/>
  <c r="FX79"/>
  <c r="FY79"/>
  <c r="FZ79"/>
  <c r="GA79"/>
  <c r="GB79"/>
  <c r="GC79"/>
  <c r="GD79"/>
  <c r="GE79"/>
  <c r="GF79"/>
  <c r="GG79"/>
  <c r="GH79"/>
  <c r="GI79"/>
  <c r="GJ79"/>
  <c r="GK79"/>
  <c r="GL79"/>
  <c r="GM79"/>
  <c r="GN79"/>
  <c r="GO79"/>
  <c r="GP79"/>
  <c r="GQ79"/>
  <c r="GR79"/>
  <c r="GS79"/>
  <c r="GT79"/>
  <c r="GU79"/>
  <c r="GV79"/>
  <c r="GW79"/>
  <c r="GX79"/>
  <c r="AC81"/>
  <c r="AE81"/>
  <c r="AD81" s="1"/>
  <c r="AF81"/>
  <c r="AG81"/>
  <c r="AH81"/>
  <c r="AI81"/>
  <c r="AJ81"/>
  <c r="CQ81"/>
  <c r="P81" s="1"/>
  <c r="CR81"/>
  <c r="Q81" s="1"/>
  <c r="CS81"/>
  <c r="R81" s="1"/>
  <c r="CT81"/>
  <c r="S81" s="1"/>
  <c r="CU81"/>
  <c r="T81" s="1"/>
  <c r="CV81"/>
  <c r="U81" s="1"/>
  <c r="CW81"/>
  <c r="V81" s="1"/>
  <c r="CX81"/>
  <c r="W81" s="1"/>
  <c r="FR81"/>
  <c r="GL81"/>
  <c r="GO81"/>
  <c r="GP81"/>
  <c r="GV81"/>
  <c r="GX81"/>
  <c r="HC81"/>
  <c r="AC82"/>
  <c r="AE82"/>
  <c r="AD82" s="1"/>
  <c r="AF82"/>
  <c r="AG82"/>
  <c r="CU82" s="1"/>
  <c r="T82" s="1"/>
  <c r="AH82"/>
  <c r="AI82"/>
  <c r="CW82" s="1"/>
  <c r="V82" s="1"/>
  <c r="AJ82"/>
  <c r="CQ82"/>
  <c r="P82" s="1"/>
  <c r="CR82"/>
  <c r="Q82" s="1"/>
  <c r="CS82"/>
  <c r="R82" s="1"/>
  <c r="CT82"/>
  <c r="S82" s="1"/>
  <c r="CV82"/>
  <c r="U82" s="1"/>
  <c r="CX82"/>
  <c r="W82" s="1"/>
  <c r="FR82"/>
  <c r="GL82"/>
  <c r="GO82"/>
  <c r="GP82"/>
  <c r="GV82"/>
  <c r="GX82"/>
  <c r="HC82"/>
  <c r="AC83"/>
  <c r="AB83" s="1"/>
  <c r="AE83"/>
  <c r="AD83" s="1"/>
  <c r="AF83"/>
  <c r="AG83"/>
  <c r="CU83" s="1"/>
  <c r="T83" s="1"/>
  <c r="AH83"/>
  <c r="AI83"/>
  <c r="CW83" s="1"/>
  <c r="V83" s="1"/>
  <c r="AJ83"/>
  <c r="CQ83"/>
  <c r="P83" s="1"/>
  <c r="CR83"/>
  <c r="Q83" s="1"/>
  <c r="CS83"/>
  <c r="R83" s="1"/>
  <c r="CT83"/>
  <c r="S83" s="1"/>
  <c r="CV83"/>
  <c r="U83" s="1"/>
  <c r="CX83"/>
  <c r="W83" s="1"/>
  <c r="FR83"/>
  <c r="GL83"/>
  <c r="GO83"/>
  <c r="GP83"/>
  <c r="GV83"/>
  <c r="GX83"/>
  <c r="HC83"/>
  <c r="AC84"/>
  <c r="AB84" s="1"/>
  <c r="AE84"/>
  <c r="AD84" s="1"/>
  <c r="AF84"/>
  <c r="AG84"/>
  <c r="CU84" s="1"/>
  <c r="T84" s="1"/>
  <c r="AH84"/>
  <c r="AI84"/>
  <c r="CW84" s="1"/>
  <c r="V84" s="1"/>
  <c r="AJ84"/>
  <c r="CQ84"/>
  <c r="P84" s="1"/>
  <c r="CR84"/>
  <c r="Q84" s="1"/>
  <c r="CS84"/>
  <c r="R84" s="1"/>
  <c r="CT84"/>
  <c r="S84" s="1"/>
  <c r="CV84"/>
  <c r="U84" s="1"/>
  <c r="CX84"/>
  <c r="W84" s="1"/>
  <c r="FR84"/>
  <c r="GL84"/>
  <c r="GO84"/>
  <c r="GP84"/>
  <c r="GV84"/>
  <c r="GX84"/>
  <c r="HC84"/>
  <c r="AC85"/>
  <c r="AB85" s="1"/>
  <c r="AE85"/>
  <c r="AD85" s="1"/>
  <c r="AF85"/>
  <c r="AG85"/>
  <c r="CU85" s="1"/>
  <c r="T85" s="1"/>
  <c r="AH85"/>
  <c r="AI85"/>
  <c r="CW85" s="1"/>
  <c r="V85" s="1"/>
  <c r="AJ85"/>
  <c r="CQ85"/>
  <c r="P85" s="1"/>
  <c r="CR85"/>
  <c r="Q85" s="1"/>
  <c r="CS85"/>
  <c r="R85" s="1"/>
  <c r="CT85"/>
  <c r="S85" s="1"/>
  <c r="CV85"/>
  <c r="U85" s="1"/>
  <c r="CX85"/>
  <c r="W85" s="1"/>
  <c r="FR85"/>
  <c r="GL85"/>
  <c r="GO85"/>
  <c r="GP85"/>
  <c r="GV85"/>
  <c r="GX85"/>
  <c r="HC85"/>
  <c r="AC86"/>
  <c r="AB86" s="1"/>
  <c r="AE86"/>
  <c r="AD86" s="1"/>
  <c r="AF86"/>
  <c r="AG86"/>
  <c r="CU86" s="1"/>
  <c r="T86" s="1"/>
  <c r="AH86"/>
  <c r="AI86"/>
  <c r="CW86" s="1"/>
  <c r="V86" s="1"/>
  <c r="AJ86"/>
  <c r="CQ86"/>
  <c r="P86" s="1"/>
  <c r="CR86"/>
  <c r="Q86" s="1"/>
  <c r="CS86"/>
  <c r="R86" s="1"/>
  <c r="CT86"/>
  <c r="S86" s="1"/>
  <c r="CV86"/>
  <c r="U86" s="1"/>
  <c r="CX86"/>
  <c r="W86" s="1"/>
  <c r="FR86"/>
  <c r="GL86"/>
  <c r="GO86"/>
  <c r="GP86"/>
  <c r="GV86"/>
  <c r="GX86"/>
  <c r="HC86"/>
  <c r="B88"/>
  <c r="B79" s="1"/>
  <c r="C88"/>
  <c r="C79" s="1"/>
  <c r="D88"/>
  <c r="D79" s="1"/>
  <c r="F88"/>
  <c r="F79" s="1"/>
  <c r="G88"/>
  <c r="G79" s="1"/>
  <c r="BX88"/>
  <c r="BX79" s="1"/>
  <c r="BY88"/>
  <c r="BY79" s="1"/>
  <c r="BZ88"/>
  <c r="BZ79" s="1"/>
  <c r="CC88"/>
  <c r="CC79" s="1"/>
  <c r="CD88"/>
  <c r="CD79" s="1"/>
  <c r="CG88"/>
  <c r="CG79" s="1"/>
  <c r="CI88"/>
  <c r="CI79" s="1"/>
  <c r="CJ88"/>
  <c r="CJ79" s="1"/>
  <c r="CK88"/>
  <c r="CK79" s="1"/>
  <c r="CL88"/>
  <c r="CL79" s="1"/>
  <c r="CM88"/>
  <c r="CM79" s="1"/>
  <c r="F117"/>
  <c r="F118" s="1"/>
  <c r="F119"/>
  <c r="F120"/>
  <c r="F121"/>
  <c r="F122" s="1"/>
  <c r="F123"/>
  <c r="F124" s="1"/>
  <c r="F125" s="1"/>
  <c r="D130"/>
  <c r="E132"/>
  <c r="Z132"/>
  <c r="AA132"/>
  <c r="AM132"/>
  <c r="AN132"/>
  <c r="BE132"/>
  <c r="BF132"/>
  <c r="BG132"/>
  <c r="BH132"/>
  <c r="BI132"/>
  <c r="BJ132"/>
  <c r="BK132"/>
  <c r="BL132"/>
  <c r="BM132"/>
  <c r="BN132"/>
  <c r="BO132"/>
  <c r="BP132"/>
  <c r="BQ132"/>
  <c r="BR132"/>
  <c r="BS132"/>
  <c r="BT132"/>
  <c r="BU132"/>
  <c r="BV132"/>
  <c r="BW132"/>
  <c r="CN132"/>
  <c r="CO132"/>
  <c r="CP132"/>
  <c r="CQ132"/>
  <c r="CR132"/>
  <c r="CS132"/>
  <c r="CT132"/>
  <c r="CU132"/>
  <c r="CV132"/>
  <c r="CW132"/>
  <c r="CX132"/>
  <c r="CY132"/>
  <c r="CZ132"/>
  <c r="DA132"/>
  <c r="DB132"/>
  <c r="DC132"/>
  <c r="DD132"/>
  <c r="DE132"/>
  <c r="DF132"/>
  <c r="DG132"/>
  <c r="DH132"/>
  <c r="DI132"/>
  <c r="DJ132"/>
  <c r="DK132"/>
  <c r="DL132"/>
  <c r="DM132"/>
  <c r="DN132"/>
  <c r="DO132"/>
  <c r="DP132"/>
  <c r="DQ132"/>
  <c r="DR132"/>
  <c r="DS132"/>
  <c r="DT132"/>
  <c r="DU132"/>
  <c r="DV132"/>
  <c r="DW132"/>
  <c r="DX132"/>
  <c r="DY132"/>
  <c r="DZ132"/>
  <c r="EA132"/>
  <c r="EB132"/>
  <c r="EC132"/>
  <c r="ED132"/>
  <c r="EE132"/>
  <c r="EF132"/>
  <c r="EG132"/>
  <c r="EH132"/>
  <c r="EI132"/>
  <c r="EJ132"/>
  <c r="EK132"/>
  <c r="EL132"/>
  <c r="EM132"/>
  <c r="EN132"/>
  <c r="EO132"/>
  <c r="EP132"/>
  <c r="EQ132"/>
  <c r="ER132"/>
  <c r="ES132"/>
  <c r="ET132"/>
  <c r="EU132"/>
  <c r="EV132"/>
  <c r="EW132"/>
  <c r="EX132"/>
  <c r="EY132"/>
  <c r="EZ132"/>
  <c r="FA132"/>
  <c r="FB132"/>
  <c r="FC132"/>
  <c r="FD132"/>
  <c r="FE132"/>
  <c r="FF132"/>
  <c r="FG132"/>
  <c r="FH132"/>
  <c r="FI132"/>
  <c r="FJ132"/>
  <c r="FK132"/>
  <c r="FL132"/>
  <c r="FM132"/>
  <c r="FN132"/>
  <c r="FO132"/>
  <c r="FP132"/>
  <c r="FQ132"/>
  <c r="FR132"/>
  <c r="FS132"/>
  <c r="FT132"/>
  <c r="FU132"/>
  <c r="FV132"/>
  <c r="FW132"/>
  <c r="FX132"/>
  <c r="FY132"/>
  <c r="FZ132"/>
  <c r="GA132"/>
  <c r="GB132"/>
  <c r="GC132"/>
  <c r="GD132"/>
  <c r="GE132"/>
  <c r="GF132"/>
  <c r="GG132"/>
  <c r="GH132"/>
  <c r="GI132"/>
  <c r="GJ132"/>
  <c r="GK132"/>
  <c r="GL132"/>
  <c r="GM132"/>
  <c r="GN132"/>
  <c r="GO132"/>
  <c r="GP132"/>
  <c r="GQ132"/>
  <c r="GR132"/>
  <c r="GS132"/>
  <c r="GT132"/>
  <c r="GU132"/>
  <c r="GV132"/>
  <c r="GW132"/>
  <c r="GX132"/>
  <c r="C134"/>
  <c r="D134"/>
  <c r="U134"/>
  <c r="H175" i="7" s="1"/>
  <c r="V134" i="1"/>
  <c r="H178" i="7" s="1"/>
  <c r="AC134" i="1"/>
  <c r="AE134"/>
  <c r="AD134" s="1"/>
  <c r="AF134"/>
  <c r="AG134"/>
  <c r="AH134"/>
  <c r="AI134"/>
  <c r="AJ134"/>
  <c r="CX134" s="1"/>
  <c r="W134" s="1"/>
  <c r="CQ134"/>
  <c r="CR134"/>
  <c r="CS134"/>
  <c r="CT134"/>
  <c r="CU134"/>
  <c r="T134" s="1"/>
  <c r="CV134"/>
  <c r="CW134"/>
  <c r="FR134"/>
  <c r="GL134"/>
  <c r="GN134"/>
  <c r="GP134"/>
  <c r="GV134"/>
  <c r="HC134"/>
  <c r="GX134" s="1"/>
  <c r="I135"/>
  <c r="P135"/>
  <c r="O135" s="1"/>
  <c r="AC135"/>
  <c r="AE135"/>
  <c r="AD135" s="1"/>
  <c r="AF135"/>
  <c r="AG135"/>
  <c r="AH135"/>
  <c r="AI135"/>
  <c r="AJ135"/>
  <c r="CP135"/>
  <c r="CQ135"/>
  <c r="CR135"/>
  <c r="Q135" s="1"/>
  <c r="CS135"/>
  <c r="R135" s="1"/>
  <c r="CT135"/>
  <c r="S135" s="1"/>
  <c r="CU135"/>
  <c r="T135" s="1"/>
  <c r="CV135"/>
  <c r="U135" s="1"/>
  <c r="CW135"/>
  <c r="V135" s="1"/>
  <c r="CX135"/>
  <c r="W135" s="1"/>
  <c r="CY135"/>
  <c r="X135" s="1"/>
  <c r="CZ135"/>
  <c r="Y135" s="1"/>
  <c r="FR135"/>
  <c r="GL135"/>
  <c r="GN135"/>
  <c r="GO135"/>
  <c r="GV135"/>
  <c r="GX135"/>
  <c r="HC135"/>
  <c r="C136"/>
  <c r="D136"/>
  <c r="I136"/>
  <c r="K136"/>
  <c r="V136"/>
  <c r="AC136"/>
  <c r="AE136"/>
  <c r="AD136" s="1"/>
  <c r="AF136"/>
  <c r="AG136"/>
  <c r="CU136" s="1"/>
  <c r="T136" s="1"/>
  <c r="AH136"/>
  <c r="AI136"/>
  <c r="AJ136"/>
  <c r="CQ136"/>
  <c r="CR136"/>
  <c r="CS136"/>
  <c r="CT136"/>
  <c r="CV136"/>
  <c r="CW136"/>
  <c r="CX136"/>
  <c r="W136" s="1"/>
  <c r="FR136"/>
  <c r="GL136"/>
  <c r="BZ139" s="1"/>
  <c r="BZ132" s="1"/>
  <c r="GN136"/>
  <c r="GP136"/>
  <c r="GV136"/>
  <c r="GX136"/>
  <c r="HC136"/>
  <c r="I137"/>
  <c r="AC137"/>
  <c r="AD137"/>
  <c r="AB137" s="1"/>
  <c r="AE137"/>
  <c r="AF137"/>
  <c r="AG137"/>
  <c r="AH137"/>
  <c r="AI137"/>
  <c r="AJ137"/>
  <c r="CP137"/>
  <c r="CQ137"/>
  <c r="CR137"/>
  <c r="Q137" s="1"/>
  <c r="CS137"/>
  <c r="R137" s="1"/>
  <c r="CT137"/>
  <c r="S137" s="1"/>
  <c r="CU137"/>
  <c r="T137" s="1"/>
  <c r="CV137"/>
  <c r="U137" s="1"/>
  <c r="CW137"/>
  <c r="V137" s="1"/>
  <c r="CX137"/>
  <c r="W137" s="1"/>
  <c r="CY137"/>
  <c r="X137" s="1"/>
  <c r="CZ137"/>
  <c r="Y137" s="1"/>
  <c r="FR137"/>
  <c r="GL137"/>
  <c r="GN137"/>
  <c r="CB139" s="1"/>
  <c r="CB132" s="1"/>
  <c r="GO137"/>
  <c r="GV137"/>
  <c r="HC137"/>
  <c r="GX137" s="1"/>
  <c r="B139"/>
  <c r="B132" s="1"/>
  <c r="C139"/>
  <c r="C132" s="1"/>
  <c r="D139"/>
  <c r="D132" s="1"/>
  <c r="F139"/>
  <c r="F132" s="1"/>
  <c r="G139"/>
  <c r="G132" s="1"/>
  <c r="BX139"/>
  <c r="BX132" s="1"/>
  <c r="BY139"/>
  <c r="BY132" s="1"/>
  <c r="CK139"/>
  <c r="CK132" s="1"/>
  <c r="CL139"/>
  <c r="CL132" s="1"/>
  <c r="CM139"/>
  <c r="CM132" s="1"/>
  <c r="F168"/>
  <c r="F169"/>
  <c r="F170"/>
  <c r="F171"/>
  <c r="F172" s="1"/>
  <c r="F173" s="1"/>
  <c r="F174"/>
  <c r="F175"/>
  <c r="F176" s="1"/>
  <c r="D181"/>
  <c r="E183"/>
  <c r="Z183"/>
  <c r="AA183"/>
  <c r="AM183"/>
  <c r="AN183"/>
  <c r="BE183"/>
  <c r="BF183"/>
  <c r="BG183"/>
  <c r="BH183"/>
  <c r="BI183"/>
  <c r="BJ183"/>
  <c r="BK183"/>
  <c r="BL183"/>
  <c r="BM183"/>
  <c r="BN183"/>
  <c r="BO183"/>
  <c r="BP183"/>
  <c r="BQ183"/>
  <c r="BR183"/>
  <c r="BS183"/>
  <c r="BT183"/>
  <c r="BU183"/>
  <c r="BV183"/>
  <c r="BW183"/>
  <c r="CN183"/>
  <c r="CO183"/>
  <c r="CP183"/>
  <c r="CQ183"/>
  <c r="CR183"/>
  <c r="CS183"/>
  <c r="CT183"/>
  <c r="CU183"/>
  <c r="CV183"/>
  <c r="CW183"/>
  <c r="CX183"/>
  <c r="CY183"/>
  <c r="CZ183"/>
  <c r="DA183"/>
  <c r="DB183"/>
  <c r="DC183"/>
  <c r="DD183"/>
  <c r="DE183"/>
  <c r="DF183"/>
  <c r="DG183"/>
  <c r="DH183"/>
  <c r="DI183"/>
  <c r="DJ183"/>
  <c r="DK183"/>
  <c r="DL183"/>
  <c r="DM183"/>
  <c r="DN183"/>
  <c r="DO183"/>
  <c r="DP183"/>
  <c r="DQ183"/>
  <c r="DR183"/>
  <c r="DS183"/>
  <c r="DT183"/>
  <c r="DU183"/>
  <c r="DV183"/>
  <c r="DW183"/>
  <c r="DX183"/>
  <c r="DY183"/>
  <c r="DZ183"/>
  <c r="EA183"/>
  <c r="EB183"/>
  <c r="EC183"/>
  <c r="ED183"/>
  <c r="EE183"/>
  <c r="EF183"/>
  <c r="EG183"/>
  <c r="EH183"/>
  <c r="EI183"/>
  <c r="EJ183"/>
  <c r="EK183"/>
  <c r="EL183"/>
  <c r="EM183"/>
  <c r="EN183"/>
  <c r="EO183"/>
  <c r="EP183"/>
  <c r="EQ183"/>
  <c r="ER183"/>
  <c r="ES183"/>
  <c r="ET183"/>
  <c r="EU183"/>
  <c r="EV183"/>
  <c r="EW183"/>
  <c r="EX183"/>
  <c r="EY183"/>
  <c r="EZ183"/>
  <c r="FA183"/>
  <c r="FB183"/>
  <c r="FC183"/>
  <c r="FD183"/>
  <c r="FE183"/>
  <c r="FF183"/>
  <c r="FG183"/>
  <c r="FH183"/>
  <c r="FI183"/>
  <c r="FJ183"/>
  <c r="FK183"/>
  <c r="FL183"/>
  <c r="FM183"/>
  <c r="FN183"/>
  <c r="FO183"/>
  <c r="FP183"/>
  <c r="FQ183"/>
  <c r="FR183"/>
  <c r="FS183"/>
  <c r="FT183"/>
  <c r="FU183"/>
  <c r="FV183"/>
  <c r="FW183"/>
  <c r="FX183"/>
  <c r="FY183"/>
  <c r="FZ183"/>
  <c r="GA183"/>
  <c r="GB183"/>
  <c r="GC183"/>
  <c r="GD183"/>
  <c r="GE183"/>
  <c r="GF183"/>
  <c r="GG183"/>
  <c r="GH183"/>
  <c r="GI183"/>
  <c r="GJ183"/>
  <c r="GK183"/>
  <c r="GL183"/>
  <c r="GM183"/>
  <c r="GN183"/>
  <c r="GO183"/>
  <c r="GP183"/>
  <c r="GQ183"/>
  <c r="GR183"/>
  <c r="GS183"/>
  <c r="GT183"/>
  <c r="GU183"/>
  <c r="GV183"/>
  <c r="GW183"/>
  <c r="GX183"/>
  <c r="AC185"/>
  <c r="AB185" s="1"/>
  <c r="AE185"/>
  <c r="AD185" s="1"/>
  <c r="AF185"/>
  <c r="AG185"/>
  <c r="CU185" s="1"/>
  <c r="T185" s="1"/>
  <c r="AH185"/>
  <c r="AI185"/>
  <c r="CW185" s="1"/>
  <c r="V185" s="1"/>
  <c r="AJ185"/>
  <c r="CQ185"/>
  <c r="P185" s="1"/>
  <c r="CR185"/>
  <c r="Q185" s="1"/>
  <c r="CS185"/>
  <c r="R185" s="1"/>
  <c r="CT185"/>
  <c r="S185" s="1"/>
  <c r="CV185"/>
  <c r="U185" s="1"/>
  <c r="CX185"/>
  <c r="W185" s="1"/>
  <c r="FR185"/>
  <c r="GL185"/>
  <c r="GO185"/>
  <c r="GP185"/>
  <c r="GV185"/>
  <c r="GX185"/>
  <c r="HC185"/>
  <c r="AC186"/>
  <c r="AB186" s="1"/>
  <c r="AE186"/>
  <c r="AD186" s="1"/>
  <c r="AF186"/>
  <c r="AG186"/>
  <c r="CU186" s="1"/>
  <c r="T186" s="1"/>
  <c r="AH186"/>
  <c r="AI186"/>
  <c r="CW186" s="1"/>
  <c r="V186" s="1"/>
  <c r="AJ186"/>
  <c r="CQ186"/>
  <c r="P186" s="1"/>
  <c r="CR186"/>
  <c r="Q186" s="1"/>
  <c r="CS186"/>
  <c r="R186" s="1"/>
  <c r="CT186"/>
  <c r="S186" s="1"/>
  <c r="CV186"/>
  <c r="U186" s="1"/>
  <c r="CX186"/>
  <c r="W186" s="1"/>
  <c r="FR186"/>
  <c r="GL186"/>
  <c r="GO186"/>
  <c r="GP186"/>
  <c r="GV186"/>
  <c r="GX186"/>
  <c r="HC186"/>
  <c r="AC187"/>
  <c r="AB187" s="1"/>
  <c r="AE187"/>
  <c r="AD187" s="1"/>
  <c r="AF187"/>
  <c r="AG187"/>
  <c r="CU187" s="1"/>
  <c r="T187" s="1"/>
  <c r="AH187"/>
  <c r="AI187"/>
  <c r="CW187" s="1"/>
  <c r="V187" s="1"/>
  <c r="AJ187"/>
  <c r="CQ187"/>
  <c r="P187" s="1"/>
  <c r="CR187"/>
  <c r="Q187" s="1"/>
  <c r="CS187"/>
  <c r="R187" s="1"/>
  <c r="CT187"/>
  <c r="S187" s="1"/>
  <c r="CV187"/>
  <c r="U187" s="1"/>
  <c r="CX187"/>
  <c r="W187" s="1"/>
  <c r="FR187"/>
  <c r="GL187"/>
  <c r="GO187"/>
  <c r="GP187"/>
  <c r="GV187"/>
  <c r="GX187"/>
  <c r="HC187"/>
  <c r="AC188"/>
  <c r="AB188" s="1"/>
  <c r="AE188"/>
  <c r="AD188" s="1"/>
  <c r="AF188"/>
  <c r="AG188"/>
  <c r="CU188" s="1"/>
  <c r="T188" s="1"/>
  <c r="AH188"/>
  <c r="AI188"/>
  <c r="CW188" s="1"/>
  <c r="V188" s="1"/>
  <c r="AJ188"/>
  <c r="CQ188"/>
  <c r="P188" s="1"/>
  <c r="CR188"/>
  <c r="Q188" s="1"/>
  <c r="CS188"/>
  <c r="R188" s="1"/>
  <c r="CT188"/>
  <c r="S188" s="1"/>
  <c r="CV188"/>
  <c r="U188" s="1"/>
  <c r="CX188"/>
  <c r="W188" s="1"/>
  <c r="FR188"/>
  <c r="GL188"/>
  <c r="GO188"/>
  <c r="GP188"/>
  <c r="GV188"/>
  <c r="GX188"/>
  <c r="HC188"/>
  <c r="AC189"/>
  <c r="AB189" s="1"/>
  <c r="AE189"/>
  <c r="AD189" s="1"/>
  <c r="AF189"/>
  <c r="AG189"/>
  <c r="CU189" s="1"/>
  <c r="T189" s="1"/>
  <c r="AH189"/>
  <c r="AI189"/>
  <c r="CW189" s="1"/>
  <c r="V189" s="1"/>
  <c r="AJ189"/>
  <c r="CQ189"/>
  <c r="P189" s="1"/>
  <c r="CR189"/>
  <c r="Q189" s="1"/>
  <c r="CS189"/>
  <c r="R189" s="1"/>
  <c r="CT189"/>
  <c r="S189" s="1"/>
  <c r="CV189"/>
  <c r="U189" s="1"/>
  <c r="CX189"/>
  <c r="W189" s="1"/>
  <c r="FR189"/>
  <c r="GL189"/>
  <c r="GO189"/>
  <c r="GP189"/>
  <c r="GV189"/>
  <c r="GX189"/>
  <c r="HC189"/>
  <c r="B191"/>
  <c r="B183" s="1"/>
  <c r="C191"/>
  <c r="C183" s="1"/>
  <c r="D191"/>
  <c r="D183" s="1"/>
  <c r="F191"/>
  <c r="F183" s="1"/>
  <c r="G191"/>
  <c r="G183" s="1"/>
  <c r="BX191"/>
  <c r="BX183" s="1"/>
  <c r="BY191"/>
  <c r="BY183" s="1"/>
  <c r="BZ191"/>
  <c r="BZ183" s="1"/>
  <c r="CC191"/>
  <c r="CC183" s="1"/>
  <c r="CD191"/>
  <c r="CD183" s="1"/>
  <c r="CG191"/>
  <c r="CG183" s="1"/>
  <c r="CI191"/>
  <c r="CI183" s="1"/>
  <c r="CJ191"/>
  <c r="CJ183" s="1"/>
  <c r="CK191"/>
  <c r="CK183" s="1"/>
  <c r="CL191"/>
  <c r="CL183" s="1"/>
  <c r="CM191"/>
  <c r="CM183" s="1"/>
  <c r="F220"/>
  <c r="F221" s="1"/>
  <c r="F222"/>
  <c r="F223"/>
  <c r="F224"/>
  <c r="F225" s="1"/>
  <c r="F226"/>
  <c r="F227" s="1"/>
  <c r="F228" s="1"/>
  <c r="D233"/>
  <c r="E235"/>
  <c r="Z235"/>
  <c r="AA235"/>
  <c r="AM235"/>
  <c r="AN235"/>
  <c r="BE235"/>
  <c r="BF235"/>
  <c r="BG235"/>
  <c r="BH235"/>
  <c r="BI235"/>
  <c r="BJ235"/>
  <c r="BK235"/>
  <c r="BL235"/>
  <c r="BM235"/>
  <c r="BN235"/>
  <c r="BO235"/>
  <c r="BP235"/>
  <c r="BQ235"/>
  <c r="BR235"/>
  <c r="BS235"/>
  <c r="BT235"/>
  <c r="BU235"/>
  <c r="BV235"/>
  <c r="BW235"/>
  <c r="CN235"/>
  <c r="CO235"/>
  <c r="CP235"/>
  <c r="CQ235"/>
  <c r="CR235"/>
  <c r="CS235"/>
  <c r="CT235"/>
  <c r="CU235"/>
  <c r="CV235"/>
  <c r="CW235"/>
  <c r="CX235"/>
  <c r="CY235"/>
  <c r="CZ235"/>
  <c r="DA235"/>
  <c r="DB235"/>
  <c r="DC235"/>
  <c r="DD235"/>
  <c r="DE235"/>
  <c r="DF235"/>
  <c r="DG235"/>
  <c r="DH235"/>
  <c r="DI235"/>
  <c r="DJ235"/>
  <c r="DK235"/>
  <c r="DL235"/>
  <c r="DM235"/>
  <c r="DN235"/>
  <c r="DO235"/>
  <c r="DP235"/>
  <c r="DQ235"/>
  <c r="DR235"/>
  <c r="DS235"/>
  <c r="DT235"/>
  <c r="DU235"/>
  <c r="DV235"/>
  <c r="DW235"/>
  <c r="DX235"/>
  <c r="DY235"/>
  <c r="DZ235"/>
  <c r="EA235"/>
  <c r="EB235"/>
  <c r="EC235"/>
  <c r="ED235"/>
  <c r="EE235"/>
  <c r="EF235"/>
  <c r="EG235"/>
  <c r="EH235"/>
  <c r="EI235"/>
  <c r="EJ235"/>
  <c r="EK235"/>
  <c r="EL235"/>
  <c r="EM235"/>
  <c r="EN235"/>
  <c r="EO235"/>
  <c r="EP235"/>
  <c r="EQ235"/>
  <c r="ER235"/>
  <c r="ES235"/>
  <c r="ET235"/>
  <c r="EU235"/>
  <c r="EV235"/>
  <c r="EW235"/>
  <c r="EX235"/>
  <c r="EY235"/>
  <c r="EZ235"/>
  <c r="FA235"/>
  <c r="FB235"/>
  <c r="FC235"/>
  <c r="FD235"/>
  <c r="FE235"/>
  <c r="FF235"/>
  <c r="FG235"/>
  <c r="FH235"/>
  <c r="FI235"/>
  <c r="FJ235"/>
  <c r="FK235"/>
  <c r="FL235"/>
  <c r="FM235"/>
  <c r="FN235"/>
  <c r="FO235"/>
  <c r="FP235"/>
  <c r="FQ235"/>
  <c r="FR235"/>
  <c r="FS235"/>
  <c r="FT235"/>
  <c r="FU235"/>
  <c r="FV235"/>
  <c r="FW235"/>
  <c r="FX235"/>
  <c r="FY235"/>
  <c r="FZ235"/>
  <c r="GA235"/>
  <c r="GB235"/>
  <c r="GC235"/>
  <c r="GD235"/>
  <c r="GE235"/>
  <c r="GF235"/>
  <c r="GG235"/>
  <c r="GH235"/>
  <c r="GI235"/>
  <c r="GJ235"/>
  <c r="GK235"/>
  <c r="GL235"/>
  <c r="GM235"/>
  <c r="GN235"/>
  <c r="GO235"/>
  <c r="GP235"/>
  <c r="GQ235"/>
  <c r="GR235"/>
  <c r="GS235"/>
  <c r="GT235"/>
  <c r="GU235"/>
  <c r="GV235"/>
  <c r="GW235"/>
  <c r="GX235"/>
  <c r="C237"/>
  <c r="D237"/>
  <c r="U237"/>
  <c r="H282" i="7" s="1"/>
  <c r="V237" i="1"/>
  <c r="H285" i="7" s="1"/>
  <c r="AC237" i="1"/>
  <c r="AE237"/>
  <c r="AD237" s="1"/>
  <c r="AF237"/>
  <c r="AG237"/>
  <c r="AH237"/>
  <c r="AI237"/>
  <c r="AJ237"/>
  <c r="CQ237"/>
  <c r="CR237"/>
  <c r="CS237"/>
  <c r="CT237"/>
  <c r="CU237"/>
  <c r="T237" s="1"/>
  <c r="CV237"/>
  <c r="CW237"/>
  <c r="CX237"/>
  <c r="W237" s="1"/>
  <c r="FR237"/>
  <c r="GL237"/>
  <c r="GN237"/>
  <c r="GP237"/>
  <c r="GV237"/>
  <c r="HC237"/>
  <c r="GX237" s="1"/>
  <c r="I238"/>
  <c r="P238"/>
  <c r="O238" s="1"/>
  <c r="AC238"/>
  <c r="AD238"/>
  <c r="AE238"/>
  <c r="AF238"/>
  <c r="AG238"/>
  <c r="AH238"/>
  <c r="AI238"/>
  <c r="AJ238"/>
  <c r="CP238"/>
  <c r="CQ238"/>
  <c r="CR238"/>
  <c r="Q238" s="1"/>
  <c r="CS238"/>
  <c r="R238" s="1"/>
  <c r="CT238"/>
  <c r="S238" s="1"/>
  <c r="CU238"/>
  <c r="T238" s="1"/>
  <c r="CV238"/>
  <c r="U238" s="1"/>
  <c r="CW238"/>
  <c r="V238" s="1"/>
  <c r="CX238"/>
  <c r="W238" s="1"/>
  <c r="CY238"/>
  <c r="X238" s="1"/>
  <c r="CZ238"/>
  <c r="Y238" s="1"/>
  <c r="FR238"/>
  <c r="GL238"/>
  <c r="GN238"/>
  <c r="GO238"/>
  <c r="GV238"/>
  <c r="HC238"/>
  <c r="GX238" s="1"/>
  <c r="C239"/>
  <c r="D239"/>
  <c r="U239"/>
  <c r="G315" i="6" s="1"/>
  <c r="V239" i="1"/>
  <c r="AC239"/>
  <c r="AE239"/>
  <c r="AD239" s="1"/>
  <c r="AF239"/>
  <c r="AG239"/>
  <c r="AH239"/>
  <c r="AI239"/>
  <c r="AJ239"/>
  <c r="CQ239"/>
  <c r="CR239"/>
  <c r="CS239"/>
  <c r="CT239"/>
  <c r="CU239"/>
  <c r="T239" s="1"/>
  <c r="CV239"/>
  <c r="CW239"/>
  <c r="CX239"/>
  <c r="W239" s="1"/>
  <c r="FR239"/>
  <c r="GL239"/>
  <c r="GN239"/>
  <c r="GP239"/>
  <c r="GV239"/>
  <c r="HC239"/>
  <c r="GX239" s="1"/>
  <c r="I240"/>
  <c r="P240"/>
  <c r="O240" s="1"/>
  <c r="AC240"/>
  <c r="AE240"/>
  <c r="AD240" s="1"/>
  <c r="AB240" s="1"/>
  <c r="AF240"/>
  <c r="AG240"/>
  <c r="AH240"/>
  <c r="AI240"/>
  <c r="AJ240"/>
  <c r="CP240"/>
  <c r="CQ240"/>
  <c r="CR240"/>
  <c r="Q240" s="1"/>
  <c r="CS240"/>
  <c r="R240" s="1"/>
  <c r="CT240"/>
  <c r="S240" s="1"/>
  <c r="CU240"/>
  <c r="T240" s="1"/>
  <c r="CV240"/>
  <c r="U240" s="1"/>
  <c r="CW240"/>
  <c r="V240" s="1"/>
  <c r="CX240"/>
  <c r="W240" s="1"/>
  <c r="CY240"/>
  <c r="X240" s="1"/>
  <c r="CZ240"/>
  <c r="Y240" s="1"/>
  <c r="FR240"/>
  <c r="GL240"/>
  <c r="GN240"/>
  <c r="GO240"/>
  <c r="GV240"/>
  <c r="HC240"/>
  <c r="GX240" s="1"/>
  <c r="C241"/>
  <c r="D241"/>
  <c r="U241"/>
  <c r="G325" i="6" s="1"/>
  <c r="V241" i="1"/>
  <c r="G328" i="6" s="1"/>
  <c r="AC241" i="1"/>
  <c r="AE241"/>
  <c r="AD241" s="1"/>
  <c r="AF241"/>
  <c r="AG241"/>
  <c r="AH241"/>
  <c r="AI241"/>
  <c r="AJ241"/>
  <c r="CQ241"/>
  <c r="CR241"/>
  <c r="CS241"/>
  <c r="CT241"/>
  <c r="CU241"/>
  <c r="T241" s="1"/>
  <c r="CV241"/>
  <c r="CW241"/>
  <c r="CX241"/>
  <c r="W241" s="1"/>
  <c r="FR241"/>
  <c r="GL241"/>
  <c r="GN241"/>
  <c r="GP241"/>
  <c r="GV241"/>
  <c r="GX241"/>
  <c r="HC241"/>
  <c r="I242"/>
  <c r="P242"/>
  <c r="O242" s="1"/>
  <c r="AC242"/>
  <c r="AD242"/>
  <c r="AE242"/>
  <c r="AF242"/>
  <c r="AG242"/>
  <c r="AH242"/>
  <c r="AI242"/>
  <c r="AJ242"/>
  <c r="CP242"/>
  <c r="CQ242"/>
  <c r="CR242"/>
  <c r="Q242" s="1"/>
  <c r="CS242"/>
  <c r="R242" s="1"/>
  <c r="CT242"/>
  <c r="S242" s="1"/>
  <c r="CU242"/>
  <c r="T242" s="1"/>
  <c r="CV242"/>
  <c r="U242" s="1"/>
  <c r="CW242"/>
  <c r="V242" s="1"/>
  <c r="CX242"/>
  <c r="W242" s="1"/>
  <c r="CY242"/>
  <c r="X242" s="1"/>
  <c r="CZ242"/>
  <c r="Y242" s="1"/>
  <c r="FR242"/>
  <c r="GL242"/>
  <c r="GN242"/>
  <c r="GO242"/>
  <c r="GV242"/>
  <c r="HC242"/>
  <c r="GX242" s="1"/>
  <c r="C243"/>
  <c r="D243"/>
  <c r="U243"/>
  <c r="H330" i="7" s="1"/>
  <c r="V243" i="1"/>
  <c r="H333" i="7" s="1"/>
  <c r="AC243" i="1"/>
  <c r="AE243"/>
  <c r="AD243" s="1"/>
  <c r="AF243"/>
  <c r="AG243"/>
  <c r="AH243"/>
  <c r="AI243"/>
  <c r="AJ243"/>
  <c r="CQ243"/>
  <c r="CR243"/>
  <c r="CS243"/>
  <c r="CT243"/>
  <c r="CU243"/>
  <c r="T243" s="1"/>
  <c r="CV243"/>
  <c r="CW243"/>
  <c r="CX243"/>
  <c r="W243" s="1"/>
  <c r="FR243"/>
  <c r="GL243"/>
  <c r="GN243"/>
  <c r="GP243"/>
  <c r="GV243"/>
  <c r="HC243"/>
  <c r="GX243" s="1"/>
  <c r="I244"/>
  <c r="P244"/>
  <c r="O244" s="1"/>
  <c r="AC244"/>
  <c r="AE244"/>
  <c r="AD244" s="1"/>
  <c r="AB244" s="1"/>
  <c r="AF244"/>
  <c r="AG244"/>
  <c r="AH244"/>
  <c r="AI244"/>
  <c r="AJ244"/>
  <c r="CP244"/>
  <c r="CQ244"/>
  <c r="CR244"/>
  <c r="Q244" s="1"/>
  <c r="CS244"/>
  <c r="R244" s="1"/>
  <c r="CT244"/>
  <c r="S244" s="1"/>
  <c r="CU244"/>
  <c r="T244" s="1"/>
  <c r="CV244"/>
  <c r="U244" s="1"/>
  <c r="CW244"/>
  <c r="V244" s="1"/>
  <c r="CX244"/>
  <c r="W244" s="1"/>
  <c r="CY244"/>
  <c r="X244" s="1"/>
  <c r="CZ244"/>
  <c r="Y244" s="1"/>
  <c r="FR244"/>
  <c r="GL244"/>
  <c r="GN244"/>
  <c r="GO244"/>
  <c r="GV244"/>
  <c r="HC244"/>
  <c r="GX244" s="1"/>
  <c r="C245"/>
  <c r="D245"/>
  <c r="U245"/>
  <c r="H350" i="7" s="1"/>
  <c r="V245" i="1"/>
  <c r="H353" i="7" s="1"/>
  <c r="AC245" i="1"/>
  <c r="AE245"/>
  <c r="AD245" s="1"/>
  <c r="AF245"/>
  <c r="AG245"/>
  <c r="AH245"/>
  <c r="AI245"/>
  <c r="AJ245"/>
  <c r="CQ245"/>
  <c r="CR245"/>
  <c r="CS245"/>
  <c r="CT245"/>
  <c r="CU245"/>
  <c r="T245" s="1"/>
  <c r="CV245"/>
  <c r="CW245"/>
  <c r="CX245"/>
  <c r="W245" s="1"/>
  <c r="FR245"/>
  <c r="GL245"/>
  <c r="GN245"/>
  <c r="GP245"/>
  <c r="GV245"/>
  <c r="GX245"/>
  <c r="HC245"/>
  <c r="I246"/>
  <c r="P246"/>
  <c r="O246" s="1"/>
  <c r="AC246"/>
  <c r="AD246"/>
  <c r="AE246"/>
  <c r="AF246"/>
  <c r="AG246"/>
  <c r="AH246"/>
  <c r="AI246"/>
  <c r="AJ246"/>
  <c r="CP246"/>
  <c r="CQ246"/>
  <c r="CR246"/>
  <c r="Q246" s="1"/>
  <c r="CS246"/>
  <c r="R246" s="1"/>
  <c r="CT246"/>
  <c r="S246" s="1"/>
  <c r="CU246"/>
  <c r="T246" s="1"/>
  <c r="CV246"/>
  <c r="U246" s="1"/>
  <c r="CW246"/>
  <c r="V246" s="1"/>
  <c r="CX246"/>
  <c r="W246" s="1"/>
  <c r="CY246"/>
  <c r="X246" s="1"/>
  <c r="CZ246"/>
  <c r="Y246" s="1"/>
  <c r="FR246"/>
  <c r="GL246"/>
  <c r="GN246"/>
  <c r="GO246"/>
  <c r="GV246"/>
  <c r="HC246"/>
  <c r="GX246" s="1"/>
  <c r="C247"/>
  <c r="D247"/>
  <c r="U247"/>
  <c r="H380" i="7" s="1"/>
  <c r="V247" i="1"/>
  <c r="H383" i="7" s="1"/>
  <c r="AC247" i="1"/>
  <c r="AE247"/>
  <c r="AD247" s="1"/>
  <c r="AF247"/>
  <c r="AG247"/>
  <c r="AH247"/>
  <c r="AI247"/>
  <c r="AJ247"/>
  <c r="CQ247"/>
  <c r="CR247"/>
  <c r="CS247"/>
  <c r="CT247"/>
  <c r="CU247"/>
  <c r="T247" s="1"/>
  <c r="CV247"/>
  <c r="CW247"/>
  <c r="CX247"/>
  <c r="W247" s="1"/>
  <c r="FR247"/>
  <c r="GL247"/>
  <c r="GN247"/>
  <c r="GP247"/>
  <c r="GV247"/>
  <c r="HC247"/>
  <c r="GX247" s="1"/>
  <c r="I248"/>
  <c r="P248"/>
  <c r="O248" s="1"/>
  <c r="AC248"/>
  <c r="AE248"/>
  <c r="AD248" s="1"/>
  <c r="AF248"/>
  <c r="AG248"/>
  <c r="AH248"/>
  <c r="AI248"/>
  <c r="AJ248"/>
  <c r="CP248"/>
  <c r="CQ248"/>
  <c r="CR248"/>
  <c r="Q248" s="1"/>
  <c r="CS248"/>
  <c r="R248" s="1"/>
  <c r="CT248"/>
  <c r="S248" s="1"/>
  <c r="CU248"/>
  <c r="T248" s="1"/>
  <c r="CV248"/>
  <c r="U248" s="1"/>
  <c r="CW248"/>
  <c r="V248" s="1"/>
  <c r="CX248"/>
  <c r="W248" s="1"/>
  <c r="CY248"/>
  <c r="X248" s="1"/>
  <c r="CZ248"/>
  <c r="Y248" s="1"/>
  <c r="FR248"/>
  <c r="GL248"/>
  <c r="GN248"/>
  <c r="GO248"/>
  <c r="GV248"/>
  <c r="GX248"/>
  <c r="HC248"/>
  <c r="C249"/>
  <c r="D249"/>
  <c r="I249"/>
  <c r="K249"/>
  <c r="V249"/>
  <c r="AC249"/>
  <c r="AE249"/>
  <c r="AD249" s="1"/>
  <c r="AF249"/>
  <c r="AG249"/>
  <c r="AH249"/>
  <c r="AI249"/>
  <c r="AJ249"/>
  <c r="CQ249"/>
  <c r="CR249"/>
  <c r="CS249"/>
  <c r="CT249"/>
  <c r="CU249"/>
  <c r="T249" s="1"/>
  <c r="CV249"/>
  <c r="CW249"/>
  <c r="CX249"/>
  <c r="W249" s="1"/>
  <c r="FR249"/>
  <c r="GL249"/>
  <c r="GN249"/>
  <c r="GP249"/>
  <c r="GV249"/>
  <c r="GX249"/>
  <c r="HC249"/>
  <c r="I250"/>
  <c r="AC250"/>
  <c r="AE250"/>
  <c r="AD250" s="1"/>
  <c r="AB250" s="1"/>
  <c r="AF250"/>
  <c r="AG250"/>
  <c r="AH250"/>
  <c r="AI250"/>
  <c r="AJ250"/>
  <c r="CP250"/>
  <c r="CQ250"/>
  <c r="CR250"/>
  <c r="Q250" s="1"/>
  <c r="CS250"/>
  <c r="R250" s="1"/>
  <c r="CT250"/>
  <c r="S250" s="1"/>
  <c r="CU250"/>
  <c r="T250" s="1"/>
  <c r="CV250"/>
  <c r="U250" s="1"/>
  <c r="CW250"/>
  <c r="V250" s="1"/>
  <c r="CX250"/>
  <c r="W250" s="1"/>
  <c r="CY250"/>
  <c r="X250" s="1"/>
  <c r="CZ250"/>
  <c r="Y250" s="1"/>
  <c r="FR250"/>
  <c r="GL250"/>
  <c r="GN250"/>
  <c r="GO250"/>
  <c r="GV250"/>
  <c r="HC250"/>
  <c r="GX250" s="1"/>
  <c r="C251"/>
  <c r="D251"/>
  <c r="I251"/>
  <c r="K251"/>
  <c r="AC251"/>
  <c r="AE251"/>
  <c r="AD251" s="1"/>
  <c r="AF251"/>
  <c r="AG251"/>
  <c r="AH251"/>
  <c r="AI251"/>
  <c r="AJ251"/>
  <c r="CQ251"/>
  <c r="CR251"/>
  <c r="CS251"/>
  <c r="CT251"/>
  <c r="CU251"/>
  <c r="T251" s="1"/>
  <c r="CV251"/>
  <c r="CW251"/>
  <c r="CX251"/>
  <c r="W251" s="1"/>
  <c r="FR251"/>
  <c r="GL251"/>
  <c r="GN251"/>
  <c r="GP251"/>
  <c r="GV251"/>
  <c r="HC251"/>
  <c r="GX251" s="1"/>
  <c r="I252"/>
  <c r="AC252"/>
  <c r="AE252"/>
  <c r="AD252" s="1"/>
  <c r="AF252"/>
  <c r="AG252"/>
  <c r="AH252"/>
  <c r="AI252"/>
  <c r="AJ252"/>
  <c r="CP252"/>
  <c r="CQ252"/>
  <c r="CR252"/>
  <c r="Q252" s="1"/>
  <c r="CS252"/>
  <c r="R252" s="1"/>
  <c r="CT252"/>
  <c r="S252" s="1"/>
  <c r="CU252"/>
  <c r="T252" s="1"/>
  <c r="CV252"/>
  <c r="U252" s="1"/>
  <c r="CW252"/>
  <c r="V252" s="1"/>
  <c r="CX252"/>
  <c r="W252" s="1"/>
  <c r="CY252"/>
  <c r="X252" s="1"/>
  <c r="CZ252"/>
  <c r="Y252" s="1"/>
  <c r="FR252"/>
  <c r="GL252"/>
  <c r="GN252"/>
  <c r="GO252"/>
  <c r="GV252"/>
  <c r="GX252"/>
  <c r="HC252"/>
  <c r="C253"/>
  <c r="D253"/>
  <c r="I253"/>
  <c r="K253"/>
  <c r="AC253"/>
  <c r="AE253"/>
  <c r="AD253" s="1"/>
  <c r="AF253"/>
  <c r="AG253"/>
  <c r="AH253"/>
  <c r="AI253"/>
  <c r="AJ253"/>
  <c r="CQ253"/>
  <c r="CR253"/>
  <c r="CS253"/>
  <c r="CT253"/>
  <c r="CU253"/>
  <c r="T253" s="1"/>
  <c r="CV253"/>
  <c r="CW253"/>
  <c r="CX253"/>
  <c r="W253" s="1"/>
  <c r="FR253"/>
  <c r="GL253"/>
  <c r="GN253"/>
  <c r="GP253"/>
  <c r="GV253"/>
  <c r="GX253"/>
  <c r="HC253"/>
  <c r="I254"/>
  <c r="AC254"/>
  <c r="AD254"/>
  <c r="AB254" s="1"/>
  <c r="AE254"/>
  <c r="AF254"/>
  <c r="AG254"/>
  <c r="AH254"/>
  <c r="AI254"/>
  <c r="AJ254"/>
  <c r="CP254"/>
  <c r="CQ254"/>
  <c r="CR254"/>
  <c r="Q254" s="1"/>
  <c r="CS254"/>
  <c r="R254" s="1"/>
  <c r="CT254"/>
  <c r="S254" s="1"/>
  <c r="CU254"/>
  <c r="T254" s="1"/>
  <c r="CV254"/>
  <c r="U254" s="1"/>
  <c r="CW254"/>
  <c r="V254" s="1"/>
  <c r="CX254"/>
  <c r="W254" s="1"/>
  <c r="CY254"/>
  <c r="X254" s="1"/>
  <c r="CZ254"/>
  <c r="Y254" s="1"/>
  <c r="FR254"/>
  <c r="GL254"/>
  <c r="GN254"/>
  <c r="GO254"/>
  <c r="GV254"/>
  <c r="HC254"/>
  <c r="GX254" s="1"/>
  <c r="B256"/>
  <c r="B235" s="1"/>
  <c r="C256"/>
  <c r="C235" s="1"/>
  <c r="D256"/>
  <c r="D235" s="1"/>
  <c r="F256"/>
  <c r="F235" s="1"/>
  <c r="G256"/>
  <c r="G235" s="1"/>
  <c r="BX256"/>
  <c r="CJ256"/>
  <c r="CJ235" s="1"/>
  <c r="CK256"/>
  <c r="CL256"/>
  <c r="CL235" s="1"/>
  <c r="CM256"/>
  <c r="F285"/>
  <c r="F286"/>
  <c r="F287"/>
  <c r="F288"/>
  <c r="F289" s="1"/>
  <c r="F290" s="1"/>
  <c r="F291"/>
  <c r="F292"/>
  <c r="F293" s="1"/>
  <c r="D298"/>
  <c r="E300"/>
  <c r="Z300"/>
  <c r="AA300"/>
  <c r="AM300"/>
  <c r="AN300"/>
  <c r="BE300"/>
  <c r="BF300"/>
  <c r="BG300"/>
  <c r="BH300"/>
  <c r="BI300"/>
  <c r="BJ300"/>
  <c r="BK300"/>
  <c r="BL300"/>
  <c r="BM300"/>
  <c r="BN300"/>
  <c r="BO300"/>
  <c r="BP300"/>
  <c r="BQ300"/>
  <c r="BR300"/>
  <c r="BS300"/>
  <c r="BT300"/>
  <c r="BU300"/>
  <c r="BV300"/>
  <c r="BW300"/>
  <c r="CN300"/>
  <c r="CO300"/>
  <c r="CP300"/>
  <c r="CQ300"/>
  <c r="CR300"/>
  <c r="CS300"/>
  <c r="CT300"/>
  <c r="CU300"/>
  <c r="CV300"/>
  <c r="CW300"/>
  <c r="CX300"/>
  <c r="CY300"/>
  <c r="CZ300"/>
  <c r="DA300"/>
  <c r="DB300"/>
  <c r="DC300"/>
  <c r="DD300"/>
  <c r="DE300"/>
  <c r="DF300"/>
  <c r="DG300"/>
  <c r="DH300"/>
  <c r="DI300"/>
  <c r="DJ300"/>
  <c r="DK300"/>
  <c r="DL300"/>
  <c r="DM300"/>
  <c r="DN300"/>
  <c r="DO300"/>
  <c r="DP300"/>
  <c r="DQ300"/>
  <c r="DR300"/>
  <c r="DS300"/>
  <c r="DT300"/>
  <c r="DU300"/>
  <c r="DV300"/>
  <c r="DW300"/>
  <c r="DX300"/>
  <c r="DY300"/>
  <c r="DZ300"/>
  <c r="EA300"/>
  <c r="EB300"/>
  <c r="EC300"/>
  <c r="ED300"/>
  <c r="EE300"/>
  <c r="EF300"/>
  <c r="EG300"/>
  <c r="EH300"/>
  <c r="EI300"/>
  <c r="EJ300"/>
  <c r="EK300"/>
  <c r="EL300"/>
  <c r="EM300"/>
  <c r="EN300"/>
  <c r="EO300"/>
  <c r="EP300"/>
  <c r="EQ300"/>
  <c r="ER300"/>
  <c r="ES300"/>
  <c r="ET300"/>
  <c r="EU300"/>
  <c r="EV300"/>
  <c r="EW300"/>
  <c r="EX300"/>
  <c r="EY300"/>
  <c r="EZ300"/>
  <c r="FA300"/>
  <c r="FB300"/>
  <c r="FC300"/>
  <c r="FD300"/>
  <c r="FE300"/>
  <c r="FF300"/>
  <c r="FG300"/>
  <c r="FH300"/>
  <c r="FI300"/>
  <c r="FJ300"/>
  <c r="FK300"/>
  <c r="FL300"/>
  <c r="FM300"/>
  <c r="FN300"/>
  <c r="FO300"/>
  <c r="FP300"/>
  <c r="FQ300"/>
  <c r="FR300"/>
  <c r="FS300"/>
  <c r="FT300"/>
  <c r="FU300"/>
  <c r="FV300"/>
  <c r="FW300"/>
  <c r="FX300"/>
  <c r="FY300"/>
  <c r="FZ300"/>
  <c r="GA300"/>
  <c r="GB300"/>
  <c r="GC300"/>
  <c r="GD300"/>
  <c r="GE300"/>
  <c r="GF300"/>
  <c r="GG300"/>
  <c r="GH300"/>
  <c r="GI300"/>
  <c r="GJ300"/>
  <c r="GK300"/>
  <c r="GL300"/>
  <c r="GM300"/>
  <c r="GN300"/>
  <c r="GO300"/>
  <c r="GP300"/>
  <c r="GQ300"/>
  <c r="GR300"/>
  <c r="GS300"/>
  <c r="GT300"/>
  <c r="GU300"/>
  <c r="GV300"/>
  <c r="GW300"/>
  <c r="GX300"/>
  <c r="AC302"/>
  <c r="AE302"/>
  <c r="AD302" s="1"/>
  <c r="AF302"/>
  <c r="AG302"/>
  <c r="CU302" s="1"/>
  <c r="T302" s="1"/>
  <c r="AH302"/>
  <c r="AI302"/>
  <c r="CW302" s="1"/>
  <c r="V302" s="1"/>
  <c r="AJ302"/>
  <c r="CQ302"/>
  <c r="P302" s="1"/>
  <c r="CR302"/>
  <c r="Q302" s="1"/>
  <c r="CS302"/>
  <c r="R302" s="1"/>
  <c r="CT302"/>
  <c r="S302" s="1"/>
  <c r="CV302"/>
  <c r="U302" s="1"/>
  <c r="CX302"/>
  <c r="W302" s="1"/>
  <c r="FR302"/>
  <c r="GL302"/>
  <c r="GO302"/>
  <c r="GP302"/>
  <c r="GV302"/>
  <c r="GX302"/>
  <c r="HC302"/>
  <c r="AC303"/>
  <c r="AE303"/>
  <c r="AD303" s="1"/>
  <c r="AF303"/>
  <c r="AG303"/>
  <c r="CU303" s="1"/>
  <c r="T303" s="1"/>
  <c r="AH303"/>
  <c r="AI303"/>
  <c r="CW303" s="1"/>
  <c r="V303" s="1"/>
  <c r="AJ303"/>
  <c r="CQ303"/>
  <c r="P303" s="1"/>
  <c r="CR303"/>
  <c r="Q303" s="1"/>
  <c r="CS303"/>
  <c r="R303" s="1"/>
  <c r="CT303"/>
  <c r="S303" s="1"/>
  <c r="CV303"/>
  <c r="U303" s="1"/>
  <c r="CX303"/>
  <c r="W303" s="1"/>
  <c r="FR303"/>
  <c r="GL303"/>
  <c r="GO303"/>
  <c r="GP303"/>
  <c r="GV303"/>
  <c r="GX303"/>
  <c r="HC303"/>
  <c r="AC304"/>
  <c r="AE304"/>
  <c r="AD304" s="1"/>
  <c r="AF304"/>
  <c r="AG304"/>
  <c r="CU304" s="1"/>
  <c r="T304" s="1"/>
  <c r="AH304"/>
  <c r="AI304"/>
  <c r="CW304" s="1"/>
  <c r="V304" s="1"/>
  <c r="AJ304"/>
  <c r="CQ304"/>
  <c r="P304" s="1"/>
  <c r="CR304"/>
  <c r="Q304" s="1"/>
  <c r="CS304"/>
  <c r="R304" s="1"/>
  <c r="CT304"/>
  <c r="S304" s="1"/>
  <c r="CV304"/>
  <c r="U304" s="1"/>
  <c r="CX304"/>
  <c r="W304" s="1"/>
  <c r="FR304"/>
  <c r="GL304"/>
  <c r="GO304"/>
  <c r="GP304"/>
  <c r="GV304"/>
  <c r="GX304"/>
  <c r="HC304"/>
  <c r="AC305"/>
  <c r="AE305"/>
  <c r="AD305" s="1"/>
  <c r="AF305"/>
  <c r="AG305"/>
  <c r="CU305" s="1"/>
  <c r="T305" s="1"/>
  <c r="AH305"/>
  <c r="AI305"/>
  <c r="CW305" s="1"/>
  <c r="V305" s="1"/>
  <c r="AJ305"/>
  <c r="CQ305"/>
  <c r="P305" s="1"/>
  <c r="CR305"/>
  <c r="Q305" s="1"/>
  <c r="CS305"/>
  <c r="R305" s="1"/>
  <c r="CT305"/>
  <c r="S305" s="1"/>
  <c r="CV305"/>
  <c r="U305" s="1"/>
  <c r="CX305"/>
  <c r="W305" s="1"/>
  <c r="FR305"/>
  <c r="GL305"/>
  <c r="GO305"/>
  <c r="GP305"/>
  <c r="GV305"/>
  <c r="GX305"/>
  <c r="HC305"/>
  <c r="AC306"/>
  <c r="AE306"/>
  <c r="AD306" s="1"/>
  <c r="AF306"/>
  <c r="AG306"/>
  <c r="CU306" s="1"/>
  <c r="T306" s="1"/>
  <c r="AH306"/>
  <c r="AI306"/>
  <c r="CW306" s="1"/>
  <c r="V306" s="1"/>
  <c r="AJ306"/>
  <c r="CQ306"/>
  <c r="P306" s="1"/>
  <c r="CR306"/>
  <c r="Q306" s="1"/>
  <c r="CS306"/>
  <c r="R306" s="1"/>
  <c r="CT306"/>
  <c r="S306" s="1"/>
  <c r="CV306"/>
  <c r="U306" s="1"/>
  <c r="CX306"/>
  <c r="W306" s="1"/>
  <c r="FR306"/>
  <c r="GL306"/>
  <c r="GO306"/>
  <c r="GP306"/>
  <c r="GV306"/>
  <c r="GX306"/>
  <c r="HC306"/>
  <c r="AC307"/>
  <c r="AE307"/>
  <c r="AD307" s="1"/>
  <c r="AF307"/>
  <c r="AG307"/>
  <c r="CU307" s="1"/>
  <c r="T307" s="1"/>
  <c r="AH307"/>
  <c r="AI307"/>
  <c r="CW307" s="1"/>
  <c r="V307" s="1"/>
  <c r="AJ307"/>
  <c r="CQ307"/>
  <c r="P307" s="1"/>
  <c r="CR307"/>
  <c r="Q307" s="1"/>
  <c r="CS307"/>
  <c r="R307" s="1"/>
  <c r="CT307"/>
  <c r="S307" s="1"/>
  <c r="CV307"/>
  <c r="U307" s="1"/>
  <c r="CX307"/>
  <c r="W307" s="1"/>
  <c r="FR307"/>
  <c r="GL307"/>
  <c r="GO307"/>
  <c r="GP307"/>
  <c r="GV307"/>
  <c r="GX307"/>
  <c r="HC307"/>
  <c r="AC308"/>
  <c r="AE308"/>
  <c r="AD308" s="1"/>
  <c r="AF308"/>
  <c r="AG308"/>
  <c r="CU308" s="1"/>
  <c r="T308" s="1"/>
  <c r="AH308"/>
  <c r="AI308"/>
  <c r="CW308" s="1"/>
  <c r="V308" s="1"/>
  <c r="AJ308"/>
  <c r="CQ308"/>
  <c r="P308" s="1"/>
  <c r="CR308"/>
  <c r="Q308" s="1"/>
  <c r="CS308"/>
  <c r="R308" s="1"/>
  <c r="CT308"/>
  <c r="S308" s="1"/>
  <c r="CV308"/>
  <c r="U308" s="1"/>
  <c r="CX308"/>
  <c r="W308" s="1"/>
  <c r="FR308"/>
  <c r="GL308"/>
  <c r="GO308"/>
  <c r="GP308"/>
  <c r="GV308"/>
  <c r="GX308"/>
  <c r="HC308"/>
  <c r="AC309"/>
  <c r="AE309"/>
  <c r="AD309" s="1"/>
  <c r="AF309"/>
  <c r="AG309"/>
  <c r="CU309" s="1"/>
  <c r="T309" s="1"/>
  <c r="AH309"/>
  <c r="AI309"/>
  <c r="CW309" s="1"/>
  <c r="V309" s="1"/>
  <c r="AJ309"/>
  <c r="CQ309"/>
  <c r="P309" s="1"/>
  <c r="CR309"/>
  <c r="Q309" s="1"/>
  <c r="CS309"/>
  <c r="R309" s="1"/>
  <c r="CT309"/>
  <c r="S309" s="1"/>
  <c r="CV309"/>
  <c r="U309" s="1"/>
  <c r="CX309"/>
  <c r="W309" s="1"/>
  <c r="FR309"/>
  <c r="GL309"/>
  <c r="GO309"/>
  <c r="GP309"/>
  <c r="GV309"/>
  <c r="GX309"/>
  <c r="HC309"/>
  <c r="AC310"/>
  <c r="AE310"/>
  <c r="AD310" s="1"/>
  <c r="AF310"/>
  <c r="AG310"/>
  <c r="CU310" s="1"/>
  <c r="T310" s="1"/>
  <c r="AH310"/>
  <c r="AI310"/>
  <c r="CW310" s="1"/>
  <c r="V310" s="1"/>
  <c r="AJ310"/>
  <c r="CQ310"/>
  <c r="P310" s="1"/>
  <c r="CR310"/>
  <c r="Q310" s="1"/>
  <c r="CS310"/>
  <c r="R310" s="1"/>
  <c r="CT310"/>
  <c r="S310" s="1"/>
  <c r="CV310"/>
  <c r="U310" s="1"/>
  <c r="CX310"/>
  <c r="W310" s="1"/>
  <c r="FR310"/>
  <c r="GL310"/>
  <c r="BZ312" s="1"/>
  <c r="GO310"/>
  <c r="GP310"/>
  <c r="CD312" s="1"/>
  <c r="GV310"/>
  <c r="GX310"/>
  <c r="CJ312" s="1"/>
  <c r="HC310"/>
  <c r="B312"/>
  <c r="B300" s="1"/>
  <c r="C312"/>
  <c r="C300" s="1"/>
  <c r="D312"/>
  <c r="D300" s="1"/>
  <c r="F312"/>
  <c r="F300" s="1"/>
  <c r="G312"/>
  <c r="G300" s="1"/>
  <c r="BX312"/>
  <c r="BX300" s="1"/>
  <c r="BY312"/>
  <c r="BY300" s="1"/>
  <c r="CC312"/>
  <c r="CC300" s="1"/>
  <c r="CK312"/>
  <c r="CK300" s="1"/>
  <c r="CL312"/>
  <c r="CL300" s="1"/>
  <c r="CM312"/>
  <c r="CM300" s="1"/>
  <c r="F341"/>
  <c r="F342" s="1"/>
  <c r="F343"/>
  <c r="F344"/>
  <c r="F345"/>
  <c r="F346" s="1"/>
  <c r="F347"/>
  <c r="F348" s="1"/>
  <c r="F349" s="1"/>
  <c r="D354"/>
  <c r="E356"/>
  <c r="Z356"/>
  <c r="AA356"/>
  <c r="AM356"/>
  <c r="AN356"/>
  <c r="BE356"/>
  <c r="BF356"/>
  <c r="BG356"/>
  <c r="BH356"/>
  <c r="BI356"/>
  <c r="BJ356"/>
  <c r="BK356"/>
  <c r="BL356"/>
  <c r="BM356"/>
  <c r="BN356"/>
  <c r="BO356"/>
  <c r="BP356"/>
  <c r="BQ356"/>
  <c r="BR356"/>
  <c r="BS356"/>
  <c r="BT356"/>
  <c r="BU356"/>
  <c r="BV356"/>
  <c r="BW356"/>
  <c r="CN356"/>
  <c r="CO356"/>
  <c r="CP356"/>
  <c r="CQ356"/>
  <c r="CR356"/>
  <c r="CS356"/>
  <c r="CT356"/>
  <c r="CU356"/>
  <c r="CV356"/>
  <c r="CW356"/>
  <c r="CX356"/>
  <c r="CY356"/>
  <c r="CZ356"/>
  <c r="DA356"/>
  <c r="DB356"/>
  <c r="DC356"/>
  <c r="DD356"/>
  <c r="DE356"/>
  <c r="DF356"/>
  <c r="DG356"/>
  <c r="DH356"/>
  <c r="DI356"/>
  <c r="DJ356"/>
  <c r="DK356"/>
  <c r="DL356"/>
  <c r="DM356"/>
  <c r="DN356"/>
  <c r="DO356"/>
  <c r="DP356"/>
  <c r="DQ356"/>
  <c r="DR356"/>
  <c r="DS356"/>
  <c r="DT356"/>
  <c r="DU356"/>
  <c r="DV356"/>
  <c r="DW356"/>
  <c r="DX356"/>
  <c r="DY356"/>
  <c r="DZ356"/>
  <c r="EA356"/>
  <c r="EB356"/>
  <c r="EC356"/>
  <c r="ED356"/>
  <c r="EE356"/>
  <c r="EF356"/>
  <c r="EG356"/>
  <c r="EH356"/>
  <c r="EI356"/>
  <c r="EJ356"/>
  <c r="EK356"/>
  <c r="EL356"/>
  <c r="EM356"/>
  <c r="EN356"/>
  <c r="EO356"/>
  <c r="EP356"/>
  <c r="EQ356"/>
  <c r="ER356"/>
  <c r="ES356"/>
  <c r="ET356"/>
  <c r="EU356"/>
  <c r="EV356"/>
  <c r="EW356"/>
  <c r="EX356"/>
  <c r="EY356"/>
  <c r="EZ356"/>
  <c r="FA356"/>
  <c r="FB356"/>
  <c r="FC356"/>
  <c r="FD356"/>
  <c r="FE356"/>
  <c r="FF356"/>
  <c r="FG356"/>
  <c r="FH356"/>
  <c r="FI356"/>
  <c r="FJ356"/>
  <c r="FK356"/>
  <c r="FL356"/>
  <c r="FM356"/>
  <c r="FN356"/>
  <c r="FO356"/>
  <c r="FP356"/>
  <c r="FQ356"/>
  <c r="FR356"/>
  <c r="FS356"/>
  <c r="FT356"/>
  <c r="FU356"/>
  <c r="FV356"/>
  <c r="FW356"/>
  <c r="FX356"/>
  <c r="FY356"/>
  <c r="FZ356"/>
  <c r="GA356"/>
  <c r="GB356"/>
  <c r="GC356"/>
  <c r="GD356"/>
  <c r="GE356"/>
  <c r="GF356"/>
  <c r="GG356"/>
  <c r="GH356"/>
  <c r="GI356"/>
  <c r="GJ356"/>
  <c r="GK356"/>
  <c r="GL356"/>
  <c r="GM356"/>
  <c r="GN356"/>
  <c r="GO356"/>
  <c r="GP356"/>
  <c r="GQ356"/>
  <c r="GR356"/>
  <c r="GS356"/>
  <c r="GT356"/>
  <c r="GU356"/>
  <c r="GV356"/>
  <c r="GW356"/>
  <c r="GX356"/>
  <c r="C358"/>
  <c r="D358"/>
  <c r="P358"/>
  <c r="R358"/>
  <c r="U358"/>
  <c r="G560" i="6" s="1"/>
  <c r="V358" i="1"/>
  <c r="AC358"/>
  <c r="AD358"/>
  <c r="AE358"/>
  <c r="AF358"/>
  <c r="AG358"/>
  <c r="AH358"/>
  <c r="AI358"/>
  <c r="AJ358"/>
  <c r="CX358" s="1"/>
  <c r="W358" s="1"/>
  <c r="CQ358"/>
  <c r="CR358"/>
  <c r="CS358"/>
  <c r="CT358"/>
  <c r="CU358"/>
  <c r="T358" s="1"/>
  <c r="CV358"/>
  <c r="CW358"/>
  <c r="FR358"/>
  <c r="GL358"/>
  <c r="GN358"/>
  <c r="GO358"/>
  <c r="GV358"/>
  <c r="HC358"/>
  <c r="GX358" s="1"/>
  <c r="C359"/>
  <c r="D359"/>
  <c r="P359"/>
  <c r="R359"/>
  <c r="U359"/>
  <c r="H558" i="7" s="1"/>
  <c r="V359" i="1"/>
  <c r="AC359"/>
  <c r="AD359"/>
  <c r="AE359"/>
  <c r="AF359"/>
  <c r="AG359"/>
  <c r="AH359"/>
  <c r="AI359"/>
  <c r="AJ359"/>
  <c r="CX359" s="1"/>
  <c r="W359" s="1"/>
  <c r="CQ359"/>
  <c r="CR359"/>
  <c r="CS359"/>
  <c r="CT359"/>
  <c r="CU359"/>
  <c r="T359" s="1"/>
  <c r="CV359"/>
  <c r="CW359"/>
  <c r="FR359"/>
  <c r="GL359"/>
  <c r="GN359"/>
  <c r="GO359"/>
  <c r="GV359"/>
  <c r="HC359"/>
  <c r="GX359" s="1"/>
  <c r="C360"/>
  <c r="D360"/>
  <c r="P360"/>
  <c r="R360"/>
  <c r="U360"/>
  <c r="H567" i="7" s="1"/>
  <c r="V360" i="1"/>
  <c r="AC360"/>
  <c r="AD360"/>
  <c r="AE360"/>
  <c r="AF360"/>
  <c r="AG360"/>
  <c r="AH360"/>
  <c r="AI360"/>
  <c r="AJ360"/>
  <c r="CX360" s="1"/>
  <c r="W360" s="1"/>
  <c r="CQ360"/>
  <c r="CR360"/>
  <c r="CS360"/>
  <c r="CT360"/>
  <c r="CU360"/>
  <c r="T360" s="1"/>
  <c r="CV360"/>
  <c r="CW360"/>
  <c r="FR360"/>
  <c r="GL360"/>
  <c r="GN360"/>
  <c r="GO360"/>
  <c r="GV360"/>
  <c r="HC360"/>
  <c r="GX360" s="1"/>
  <c r="C361"/>
  <c r="D361"/>
  <c r="U361"/>
  <c r="H576" i="7" s="1"/>
  <c r="V361" i="1"/>
  <c r="AC361"/>
  <c r="AD361"/>
  <c r="AE361"/>
  <c r="AF361"/>
  <c r="AG361"/>
  <c r="AH361"/>
  <c r="AI361"/>
  <c r="AJ361"/>
  <c r="CX361" s="1"/>
  <c r="W361" s="1"/>
  <c r="CQ361"/>
  <c r="CR361"/>
  <c r="CS361"/>
  <c r="CT361"/>
  <c r="CU361"/>
  <c r="T361" s="1"/>
  <c r="CV361"/>
  <c r="CW361"/>
  <c r="FR361"/>
  <c r="GL361"/>
  <c r="GN361"/>
  <c r="GO361"/>
  <c r="GV361"/>
  <c r="HC361"/>
  <c r="GX361" s="1"/>
  <c r="B363"/>
  <c r="B356" s="1"/>
  <c r="C363"/>
  <c r="C356" s="1"/>
  <c r="D363"/>
  <c r="D356" s="1"/>
  <c r="F363"/>
  <c r="F356" s="1"/>
  <c r="G363"/>
  <c r="G356" s="1"/>
  <c r="AI363"/>
  <c r="AI356" s="1"/>
  <c r="BX363"/>
  <c r="CK363"/>
  <c r="CK356" s="1"/>
  <c r="CL363"/>
  <c r="CL356" s="1"/>
  <c r="CM363"/>
  <c r="CM356" s="1"/>
  <c r="F392"/>
  <c r="F393"/>
  <c r="F394"/>
  <c r="F395"/>
  <c r="F396" s="1"/>
  <c r="F397" s="1"/>
  <c r="F398"/>
  <c r="F399"/>
  <c r="F400" s="1"/>
  <c r="B405"/>
  <c r="B22" s="1"/>
  <c r="C405"/>
  <c r="C22" s="1"/>
  <c r="D405"/>
  <c r="D22" s="1"/>
  <c r="F405"/>
  <c r="F22" s="1"/>
  <c r="G405"/>
  <c r="G22" s="1"/>
  <c r="F434"/>
  <c r="F435" s="1"/>
  <c r="F436"/>
  <c r="F437"/>
  <c r="F438"/>
  <c r="F439" s="1"/>
  <c r="F440"/>
  <c r="F441" s="1"/>
  <c r="F442" s="1"/>
  <c r="B447"/>
  <c r="B18" s="1"/>
  <c r="C447"/>
  <c r="C18" s="1"/>
  <c r="D447"/>
  <c r="D18" s="1"/>
  <c r="F447"/>
  <c r="F18" s="1"/>
  <c r="G447"/>
  <c r="G18" s="1"/>
  <c r="F476"/>
  <c r="F477"/>
  <c r="F478"/>
  <c r="F479"/>
  <c r="F480" s="1"/>
  <c r="F481" s="1"/>
  <c r="F482"/>
  <c r="F483"/>
  <c r="F484" s="1"/>
  <c r="B20" i="2"/>
  <c r="B21"/>
  <c r="B30"/>
  <c r="B32"/>
  <c r="B33"/>
  <c r="B44"/>
  <c r="B45"/>
  <c r="B46"/>
  <c r="B47"/>
  <c r="B48"/>
  <c r="B49"/>
  <c r="B50"/>
  <c r="B51"/>
  <c r="B52"/>
  <c r="B53"/>
  <c r="B54"/>
  <c r="B55"/>
  <c r="B57"/>
  <c r="B58"/>
  <c r="AH363" i="1" l="1"/>
  <c r="AH356" s="1"/>
  <c r="CC363"/>
  <c r="CC356" s="1"/>
  <c r="BZ363"/>
  <c r="AQ363" s="1"/>
  <c r="BZ256"/>
  <c r="CB363"/>
  <c r="CB356" s="1"/>
  <c r="BY363"/>
  <c r="BY356" s="1"/>
  <c r="L66" i="6"/>
  <c r="G75"/>
  <c r="L89"/>
  <c r="G187"/>
  <c r="G190"/>
  <c r="G297"/>
  <c r="L309"/>
  <c r="AW309" s="1"/>
  <c r="L336"/>
  <c r="AW336" s="1"/>
  <c r="G345"/>
  <c r="L356"/>
  <c r="AN356" s="1"/>
  <c r="L386"/>
  <c r="AN386" s="1"/>
  <c r="G395"/>
  <c r="L411"/>
  <c r="AW411" s="1"/>
  <c r="G570"/>
  <c r="G579"/>
  <c r="G588"/>
  <c r="H43" i="7"/>
  <c r="M77"/>
  <c r="AN77" s="1"/>
  <c r="H303"/>
  <c r="M307"/>
  <c r="AW307" s="1"/>
  <c r="H313"/>
  <c r="H316"/>
  <c r="M324"/>
  <c r="AN324" s="1"/>
  <c r="M344"/>
  <c r="AW344" s="1"/>
  <c r="M374"/>
  <c r="AW374" s="1"/>
  <c r="H548"/>
  <c r="G58" i="6"/>
  <c r="G72"/>
  <c r="L198"/>
  <c r="G294"/>
  <c r="L319"/>
  <c r="AN319" s="1"/>
  <c r="G342"/>
  <c r="G362"/>
  <c r="G365"/>
  <c r="G392"/>
  <c r="M54" i="7"/>
  <c r="AN54" s="1"/>
  <c r="M186"/>
  <c r="AN186" s="1"/>
  <c r="M297"/>
  <c r="AN297" s="1"/>
  <c r="M399"/>
  <c r="AN399" s="1"/>
  <c r="AT58"/>
  <c r="M45"/>
  <c r="AO58" s="1"/>
  <c r="M55"/>
  <c r="M86"/>
  <c r="AR91"/>
  <c r="M88" s="1"/>
  <c r="M633"/>
  <c r="M631" s="1"/>
  <c r="M151"/>
  <c r="M149" s="1"/>
  <c r="M177"/>
  <c r="AO190" s="1"/>
  <c r="M207" s="1"/>
  <c r="AT190"/>
  <c r="M209" s="1"/>
  <c r="M306"/>
  <c r="AR311"/>
  <c r="M308" s="1"/>
  <c r="AR328"/>
  <c r="M325" s="1"/>
  <c r="AT378"/>
  <c r="M352"/>
  <c r="AO378" s="1"/>
  <c r="M421"/>
  <c r="AO438" s="1"/>
  <c r="AT438"/>
  <c r="AT458"/>
  <c r="M455" s="1"/>
  <c r="M443"/>
  <c r="AO458" s="1"/>
  <c r="AR556"/>
  <c r="M552"/>
  <c r="AT81"/>
  <c r="M78" s="1"/>
  <c r="M62"/>
  <c r="AO81" s="1"/>
  <c r="AR190"/>
  <c r="M185"/>
  <c r="AT301"/>
  <c r="M284"/>
  <c r="AO301" s="1"/>
  <c r="M315"/>
  <c r="AO328" s="1"/>
  <c r="AT328"/>
  <c r="AT348"/>
  <c r="M332"/>
  <c r="AO348" s="1"/>
  <c r="M373"/>
  <c r="AR378"/>
  <c r="M375" s="1"/>
  <c r="AR416"/>
  <c r="M413" s="1"/>
  <c r="M411"/>
  <c r="AR438"/>
  <c r="M435" s="1"/>
  <c r="AR565"/>
  <c r="M562" s="1"/>
  <c r="M561"/>
  <c r="AR574"/>
  <c r="M571" s="1"/>
  <c r="M570"/>
  <c r="AR583"/>
  <c r="M580" s="1"/>
  <c r="M579"/>
  <c r="M53"/>
  <c r="M536"/>
  <c r="M674"/>
  <c r="M76"/>
  <c r="L128"/>
  <c r="J128" s="1"/>
  <c r="L130"/>
  <c r="J130" s="1"/>
  <c r="L132"/>
  <c r="J132" s="1"/>
  <c r="L134"/>
  <c r="J134" s="1"/>
  <c r="L136"/>
  <c r="J136" s="1"/>
  <c r="L138"/>
  <c r="J138" s="1"/>
  <c r="M142"/>
  <c r="M147"/>
  <c r="M155"/>
  <c r="AR200"/>
  <c r="M197" s="1"/>
  <c r="L237"/>
  <c r="J237" s="1"/>
  <c r="L239"/>
  <c r="J239" s="1"/>
  <c r="L241"/>
  <c r="J241" s="1"/>
  <c r="L243"/>
  <c r="J243" s="1"/>
  <c r="L245"/>
  <c r="J245" s="1"/>
  <c r="M249"/>
  <c r="M247" s="1"/>
  <c r="M270" s="1"/>
  <c r="M296"/>
  <c r="AW297"/>
  <c r="AN307"/>
  <c r="AN344"/>
  <c r="AR348"/>
  <c r="M345" s="1"/>
  <c r="M398"/>
  <c r="M453"/>
  <c r="M527"/>
  <c r="M592"/>
  <c r="M624"/>
  <c r="AN128"/>
  <c r="AN130"/>
  <c r="AN132"/>
  <c r="AN134"/>
  <c r="AN136"/>
  <c r="AN138"/>
  <c r="M145"/>
  <c r="M154"/>
  <c r="M156"/>
  <c r="M195"/>
  <c r="AN237"/>
  <c r="AN239"/>
  <c r="AN241"/>
  <c r="AN243"/>
  <c r="AN245"/>
  <c r="M343"/>
  <c r="M590"/>
  <c r="M588" s="1"/>
  <c r="AR202" i="6"/>
  <c r="AR212"/>
  <c r="L209" s="1"/>
  <c r="L207"/>
  <c r="AT313"/>
  <c r="L296"/>
  <c r="AO313" s="1"/>
  <c r="AT340"/>
  <c r="L327"/>
  <c r="AO340" s="1"/>
  <c r="AT390"/>
  <c r="L364"/>
  <c r="AO390" s="1"/>
  <c r="AR577"/>
  <c r="L574" s="1"/>
  <c r="L573"/>
  <c r="AR586"/>
  <c r="L583" s="1"/>
  <c r="L582"/>
  <c r="AR595"/>
  <c r="L592" s="1"/>
  <c r="L591"/>
  <c r="AT70"/>
  <c r="L57"/>
  <c r="AO70" s="1"/>
  <c r="AT93"/>
  <c r="L74"/>
  <c r="AO93" s="1"/>
  <c r="L65"/>
  <c r="AR70"/>
  <c r="AR93"/>
  <c r="L90" s="1"/>
  <c r="AR103"/>
  <c r="L100" s="1"/>
  <c r="L98"/>
  <c r="AT202"/>
  <c r="L221" s="1"/>
  <c r="L189"/>
  <c r="AO202" s="1"/>
  <c r="L219" s="1"/>
  <c r="L308"/>
  <c r="AR313"/>
  <c r="AR323"/>
  <c r="L320" s="1"/>
  <c r="L318"/>
  <c r="L335"/>
  <c r="AR340"/>
  <c r="L337" s="1"/>
  <c r="AT360"/>
  <c r="L357" s="1"/>
  <c r="L344"/>
  <c r="AO360" s="1"/>
  <c r="AR390"/>
  <c r="L387" s="1"/>
  <c r="L385"/>
  <c r="AT450"/>
  <c r="L433"/>
  <c r="AO450" s="1"/>
  <c r="AT470"/>
  <c r="L455"/>
  <c r="AO470" s="1"/>
  <c r="AR568"/>
  <c r="L564"/>
  <c r="L665"/>
  <c r="L663" s="1"/>
  <c r="L163"/>
  <c r="L161" s="1"/>
  <c r="L166"/>
  <c r="AN249"/>
  <c r="AW249"/>
  <c r="L645" s="1"/>
  <c r="L643" s="1"/>
  <c r="L634" s="1"/>
  <c r="L632" s="1"/>
  <c r="AN251"/>
  <c r="AW251"/>
  <c r="AN253"/>
  <c r="AW253"/>
  <c r="AN255"/>
  <c r="AW255"/>
  <c r="AN257"/>
  <c r="AW257"/>
  <c r="L273"/>
  <c r="AN336"/>
  <c r="L355"/>
  <c r="AW356"/>
  <c r="AR415"/>
  <c r="L412" s="1"/>
  <c r="AR428"/>
  <c r="L425" s="1"/>
  <c r="AR450"/>
  <c r="L447" s="1"/>
  <c r="AR470"/>
  <c r="L467" s="1"/>
  <c r="L527"/>
  <c r="L525" s="1"/>
  <c r="L548" s="1"/>
  <c r="L602"/>
  <c r="L648"/>
  <c r="L154"/>
  <c r="L159"/>
  <c r="L155" s="1"/>
  <c r="L167"/>
  <c r="L410"/>
  <c r="L423"/>
  <c r="L445"/>
  <c r="L465"/>
  <c r="L604"/>
  <c r="CB256" i="1"/>
  <c r="CB235" s="1"/>
  <c r="BY256"/>
  <c r="AP256" s="1"/>
  <c r="AP235" s="1"/>
  <c r="AB247"/>
  <c r="AB243"/>
  <c r="AB239"/>
  <c r="Q358"/>
  <c r="BZ26"/>
  <c r="CG35"/>
  <c r="AX35" s="1"/>
  <c r="F42" s="1"/>
  <c r="CI35"/>
  <c r="AZ35" s="1"/>
  <c r="F46" s="1"/>
  <c r="CG363"/>
  <c r="AX363" s="1"/>
  <c r="AB361"/>
  <c r="AB360"/>
  <c r="AB359"/>
  <c r="AB358"/>
  <c r="AB252"/>
  <c r="AB251"/>
  <c r="AB246"/>
  <c r="AB242"/>
  <c r="AB238"/>
  <c r="AB237"/>
  <c r="AB134"/>
  <c r="AB32"/>
  <c r="AB31"/>
  <c r="AB29"/>
  <c r="DH3" i="3"/>
  <c r="U363" i="1"/>
  <c r="AB30"/>
  <c r="DI118" i="3"/>
  <c r="DI116"/>
  <c r="DI114"/>
  <c r="DJ114" s="1"/>
  <c r="DI112"/>
  <c r="DH61"/>
  <c r="DJ61" s="1"/>
  <c r="DH60"/>
  <c r="DJ60" s="1"/>
  <c r="DH59"/>
  <c r="DJ59" s="1"/>
  <c r="DH58"/>
  <c r="DJ58" s="1"/>
  <c r="DH57"/>
  <c r="DH55"/>
  <c r="DH53"/>
  <c r="DI52"/>
  <c r="DI50"/>
  <c r="DH48"/>
  <c r="DH46"/>
  <c r="DI45"/>
  <c r="DH40"/>
  <c r="DH38"/>
  <c r="DH36"/>
  <c r="DH34"/>
  <c r="DI33"/>
  <c r="DI31"/>
  <c r="DH29"/>
  <c r="DH25"/>
  <c r="DI24"/>
  <c r="DH11"/>
  <c r="DJ11" s="1"/>
  <c r="DH10"/>
  <c r="DJ10" s="1"/>
  <c r="DH9"/>
  <c r="DJ9" s="1"/>
  <c r="DH8"/>
  <c r="DH6"/>
  <c r="DJ4"/>
  <c r="DJ3"/>
  <c r="CG356" i="1"/>
  <c r="AC312"/>
  <c r="CP302"/>
  <c r="O302" s="1"/>
  <c r="CJ363"/>
  <c r="AJ363"/>
  <c r="CP310"/>
  <c r="O310" s="1"/>
  <c r="CP309"/>
  <c r="O309" s="1"/>
  <c r="CP308"/>
  <c r="O308" s="1"/>
  <c r="CP307"/>
  <c r="O307" s="1"/>
  <c r="CP306"/>
  <c r="O306" s="1"/>
  <c r="CP305"/>
  <c r="O305" s="1"/>
  <c r="CP304"/>
  <c r="O304" s="1"/>
  <c r="CP303"/>
  <c r="O303" s="1"/>
  <c r="AH312"/>
  <c r="AE312"/>
  <c r="AI312"/>
  <c r="AG312"/>
  <c r="CJ300"/>
  <c r="BA312"/>
  <c r="CD300"/>
  <c r="AU312"/>
  <c r="BZ300"/>
  <c r="AQ312"/>
  <c r="CG312"/>
  <c r="CI312"/>
  <c r="CY310"/>
  <c r="X310" s="1"/>
  <c r="CZ310"/>
  <c r="Y310" s="1"/>
  <c r="CY309"/>
  <c r="X309" s="1"/>
  <c r="CZ309"/>
  <c r="Y309" s="1"/>
  <c r="CY308"/>
  <c r="X308" s="1"/>
  <c r="CZ308"/>
  <c r="Y308" s="1"/>
  <c r="CY307"/>
  <c r="X307" s="1"/>
  <c r="CZ307"/>
  <c r="Y307" s="1"/>
  <c r="CY306"/>
  <c r="X306" s="1"/>
  <c r="CZ306"/>
  <c r="Y306" s="1"/>
  <c r="CY305"/>
  <c r="X305" s="1"/>
  <c r="CZ305"/>
  <c r="Y305" s="1"/>
  <c r="CY304"/>
  <c r="X304" s="1"/>
  <c r="CZ304"/>
  <c r="Y304" s="1"/>
  <c r="CY303"/>
  <c r="X303" s="1"/>
  <c r="CZ303"/>
  <c r="Y303" s="1"/>
  <c r="CY302"/>
  <c r="X302" s="1"/>
  <c r="AK312" s="1"/>
  <c r="CZ302"/>
  <c r="Y302" s="1"/>
  <c r="AL312" s="1"/>
  <c r="AF312"/>
  <c r="AG363"/>
  <c r="AB310"/>
  <c r="AB309"/>
  <c r="AB308"/>
  <c r="AB307"/>
  <c r="AB306"/>
  <c r="AB305"/>
  <c r="AB304"/>
  <c r="AB303"/>
  <c r="AJ312"/>
  <c r="AD312"/>
  <c r="AB302"/>
  <c r="BZ235"/>
  <c r="AQ256"/>
  <c r="BX235"/>
  <c r="AO256"/>
  <c r="CZ189"/>
  <c r="Y189" s="1"/>
  <c r="CY189"/>
  <c r="X189" s="1"/>
  <c r="CZ188"/>
  <c r="Y188" s="1"/>
  <c r="CY188"/>
  <c r="X188" s="1"/>
  <c r="CZ187"/>
  <c r="Y187" s="1"/>
  <c r="CY187"/>
  <c r="X187" s="1"/>
  <c r="CZ186"/>
  <c r="Y186" s="1"/>
  <c r="CY186"/>
  <c r="X186" s="1"/>
  <c r="CZ185"/>
  <c r="Y185" s="1"/>
  <c r="AL191" s="1"/>
  <c r="AF191"/>
  <c r="CY185"/>
  <c r="X185" s="1"/>
  <c r="AK191" s="1"/>
  <c r="CZ86"/>
  <c r="Y86" s="1"/>
  <c r="CY86"/>
  <c r="X86" s="1"/>
  <c r="CZ85"/>
  <c r="Y85" s="1"/>
  <c r="CY85"/>
  <c r="X85" s="1"/>
  <c r="CZ84"/>
  <c r="Y84" s="1"/>
  <c r="CY84"/>
  <c r="X84" s="1"/>
  <c r="CZ83"/>
  <c r="Y83" s="1"/>
  <c r="CY83"/>
  <c r="X83" s="1"/>
  <c r="CZ82"/>
  <c r="Y82" s="1"/>
  <c r="AF88"/>
  <c r="CY82"/>
  <c r="X82" s="1"/>
  <c r="BC363"/>
  <c r="AO363"/>
  <c r="BX356"/>
  <c r="BD312"/>
  <c r="BB312"/>
  <c r="AT312"/>
  <c r="AP312"/>
  <c r="BA256"/>
  <c r="AS256"/>
  <c r="GM246"/>
  <c r="GP246" s="1"/>
  <c r="GM242"/>
  <c r="GP242" s="1"/>
  <c r="GM238"/>
  <c r="GP238" s="1"/>
  <c r="AJ256"/>
  <c r="AJ191"/>
  <c r="AD191"/>
  <c r="AJ139"/>
  <c r="AJ88"/>
  <c r="AD88"/>
  <c r="AB82"/>
  <c r="BD256"/>
  <c r="CM235"/>
  <c r="BB256"/>
  <c r="CK235"/>
  <c r="CP185"/>
  <c r="O185" s="1"/>
  <c r="AC191"/>
  <c r="CP82"/>
  <c r="O82" s="1"/>
  <c r="GM82" s="1"/>
  <c r="GN82" s="1"/>
  <c r="AC88"/>
  <c r="BD363"/>
  <c r="BB363"/>
  <c r="AT363"/>
  <c r="AP363"/>
  <c r="V363"/>
  <c r="BC312"/>
  <c r="AO312"/>
  <c r="CG256"/>
  <c r="BC256"/>
  <c r="AB253"/>
  <c r="AB249"/>
  <c r="GM248"/>
  <c r="GP248" s="1"/>
  <c r="AB248"/>
  <c r="AB245"/>
  <c r="GM244"/>
  <c r="GP244" s="1"/>
  <c r="AB241"/>
  <c r="GM240"/>
  <c r="GP240" s="1"/>
  <c r="AG256"/>
  <c r="CP189"/>
  <c r="O189" s="1"/>
  <c r="GM189" s="1"/>
  <c r="GN189" s="1"/>
  <c r="CP188"/>
  <c r="O188" s="1"/>
  <c r="GM188" s="1"/>
  <c r="GN188" s="1"/>
  <c r="CP187"/>
  <c r="O187" s="1"/>
  <c r="GM187" s="1"/>
  <c r="GN187" s="1"/>
  <c r="CP186"/>
  <c r="O186" s="1"/>
  <c r="GM186" s="1"/>
  <c r="GN186" s="1"/>
  <c r="AH191"/>
  <c r="AE191"/>
  <c r="AI191"/>
  <c r="AG191"/>
  <c r="AB136"/>
  <c r="AI139"/>
  <c r="AB135"/>
  <c r="GM135"/>
  <c r="GP135" s="1"/>
  <c r="CJ139"/>
  <c r="AG139"/>
  <c r="CP86"/>
  <c r="O86" s="1"/>
  <c r="GM86" s="1"/>
  <c r="GN86" s="1"/>
  <c r="CP85"/>
  <c r="O85" s="1"/>
  <c r="GM85" s="1"/>
  <c r="GN85" s="1"/>
  <c r="CP84"/>
  <c r="O84" s="1"/>
  <c r="GM84" s="1"/>
  <c r="GN84" s="1"/>
  <c r="CP83"/>
  <c r="O83" s="1"/>
  <c r="GM83" s="1"/>
  <c r="GN83" s="1"/>
  <c r="AH88"/>
  <c r="AE88"/>
  <c r="AI88"/>
  <c r="AG88"/>
  <c r="CU104" i="3"/>
  <c r="P254" i="1" s="1"/>
  <c r="CX104" i="3"/>
  <c r="CW106"/>
  <c r="CW107"/>
  <c r="CW108"/>
  <c r="CX109"/>
  <c r="CX111"/>
  <c r="CV104"/>
  <c r="U253" i="1" s="1"/>
  <c r="CX106" i="3"/>
  <c r="CX107"/>
  <c r="CX108"/>
  <c r="CV90"/>
  <c r="U249" i="1" s="1"/>
  <c r="CX90" i="3"/>
  <c r="CX92"/>
  <c r="CU90"/>
  <c r="P250" i="1" s="1"/>
  <c r="CX93" i="3"/>
  <c r="CY81" i="1"/>
  <c r="X81" s="1"/>
  <c r="AK88" s="1"/>
  <c r="CZ81"/>
  <c r="Y81" s="1"/>
  <c r="AL88" s="1"/>
  <c r="AZ26"/>
  <c r="AP26"/>
  <c r="F44"/>
  <c r="DG120" i="3"/>
  <c r="Q361" i="1" s="1"/>
  <c r="DI120" i="3"/>
  <c r="DF120"/>
  <c r="P361" i="1" s="1"/>
  <c r="DH120" i="3"/>
  <c r="R361" i="1" s="1"/>
  <c r="AE363" s="1"/>
  <c r="BC191"/>
  <c r="BA191"/>
  <c r="AU191"/>
  <c r="AQ191"/>
  <c r="AO191"/>
  <c r="CI139"/>
  <c r="CG139"/>
  <c r="BD139"/>
  <c r="BB139"/>
  <c r="AP139"/>
  <c r="BC88"/>
  <c r="BA88"/>
  <c r="AU88"/>
  <c r="AQ88"/>
  <c r="AO88"/>
  <c r="AB81"/>
  <c r="GM31"/>
  <c r="GP31" s="1"/>
  <c r="AI35"/>
  <c r="GM29"/>
  <c r="GP29" s="1"/>
  <c r="CJ35"/>
  <c r="AJ35"/>
  <c r="AB28"/>
  <c r="CX105" i="3"/>
  <c r="CX103"/>
  <c r="CX101"/>
  <c r="CW99"/>
  <c r="CW97"/>
  <c r="CU94"/>
  <c r="P252" i="1" s="1"/>
  <c r="CV94" i="3"/>
  <c r="U251" i="1" s="1"/>
  <c r="CX95" i="3"/>
  <c r="CX96"/>
  <c r="CX97"/>
  <c r="CX98"/>
  <c r="CX99"/>
  <c r="CU27"/>
  <c r="P137" i="1" s="1"/>
  <c r="CX27" i="3"/>
  <c r="CV27"/>
  <c r="U136" i="1" s="1"/>
  <c r="BD26"/>
  <c r="F60"/>
  <c r="BB26"/>
  <c r="F48"/>
  <c r="BD191"/>
  <c r="BB191"/>
  <c r="AZ191"/>
  <c r="AX191"/>
  <c r="AT191"/>
  <c r="AP191"/>
  <c r="BC139"/>
  <c r="AS139"/>
  <c r="AQ139"/>
  <c r="AO139"/>
  <c r="BD88"/>
  <c r="BB88"/>
  <c r="AZ88"/>
  <c r="AX88"/>
  <c r="AT88"/>
  <c r="AP88"/>
  <c r="CP81"/>
  <c r="O81" s="1"/>
  <c r="AG35"/>
  <c r="CX110" i="3"/>
  <c r="CX102"/>
  <c r="CX100"/>
  <c r="CW98"/>
  <c r="CW96"/>
  <c r="CX94"/>
  <c r="CU19"/>
  <c r="P33" i="1" s="1"/>
  <c r="CX19" i="3"/>
  <c r="CV19"/>
  <c r="U32" i="1" s="1"/>
  <c r="DF89" i="3"/>
  <c r="DJ89" s="1"/>
  <c r="DH89"/>
  <c r="DG88"/>
  <c r="DI88"/>
  <c r="DF87"/>
  <c r="DJ87" s="1"/>
  <c r="DH87"/>
  <c r="DG86"/>
  <c r="DI86"/>
  <c r="DF85"/>
  <c r="DJ85" s="1"/>
  <c r="DH85"/>
  <c r="DG84"/>
  <c r="DI84"/>
  <c r="DF83"/>
  <c r="DJ83" s="1"/>
  <c r="DH83"/>
  <c r="DG82"/>
  <c r="DI82"/>
  <c r="DF81"/>
  <c r="DJ81" s="1"/>
  <c r="DH81"/>
  <c r="DG80"/>
  <c r="DI80"/>
  <c r="DF79"/>
  <c r="DJ79" s="1"/>
  <c r="DH79"/>
  <c r="DG78"/>
  <c r="DI78"/>
  <c r="DF77"/>
  <c r="DJ77" s="1"/>
  <c r="DH77"/>
  <c r="DG56"/>
  <c r="DI56"/>
  <c r="DF56"/>
  <c r="DH56"/>
  <c r="DG54"/>
  <c r="DI54"/>
  <c r="DF54"/>
  <c r="DJ54" s="1"/>
  <c r="DH54"/>
  <c r="DG47"/>
  <c r="DI47"/>
  <c r="DF47"/>
  <c r="DJ47" s="1"/>
  <c r="DH47"/>
  <c r="DG43"/>
  <c r="Q241" i="1" s="1"/>
  <c r="DI43" i="3"/>
  <c r="DJ43" s="1"/>
  <c r="DF43"/>
  <c r="P241" i="1" s="1"/>
  <c r="DH43" i="3"/>
  <c r="R241" i="1" s="1"/>
  <c r="DG39" i="3"/>
  <c r="Q239" i="1" s="1"/>
  <c r="DI39" i="3"/>
  <c r="DF39"/>
  <c r="P239" i="1" s="1"/>
  <c r="DH39" i="3"/>
  <c r="R239" i="1" s="1"/>
  <c r="DG37" i="3"/>
  <c r="DI37"/>
  <c r="DF37"/>
  <c r="DJ37" s="1"/>
  <c r="DH37"/>
  <c r="DG35"/>
  <c r="DI35"/>
  <c r="DF35"/>
  <c r="DJ35" s="1"/>
  <c r="DH35"/>
  <c r="DG26"/>
  <c r="DI26"/>
  <c r="DF26"/>
  <c r="DJ26" s="1"/>
  <c r="DH26"/>
  <c r="DG22"/>
  <c r="Q134" i="1" s="1"/>
  <c r="DI22" i="3"/>
  <c r="DJ22" s="1"/>
  <c r="DF22"/>
  <c r="P134" i="1" s="1"/>
  <c r="DH22" i="3"/>
  <c r="R134" i="1" s="1"/>
  <c r="DG7" i="3"/>
  <c r="DI7"/>
  <c r="DF7"/>
  <c r="DH7"/>
  <c r="DG5"/>
  <c r="DI5"/>
  <c r="DF5"/>
  <c r="DJ5" s="1"/>
  <c r="DH5"/>
  <c r="BC35" i="1"/>
  <c r="AS35"/>
  <c r="AQ35"/>
  <c r="AO35"/>
  <c r="CM26"/>
  <c r="CK26"/>
  <c r="BY26"/>
  <c r="CX76" i="3"/>
  <c r="CX28"/>
  <c r="DG75"/>
  <c r="DI75"/>
  <c r="DF74"/>
  <c r="DJ74" s="1"/>
  <c r="DH74"/>
  <c r="DG73"/>
  <c r="DI73"/>
  <c r="DF72"/>
  <c r="DJ72" s="1"/>
  <c r="DH72"/>
  <c r="DG71"/>
  <c r="DI71"/>
  <c r="DF70"/>
  <c r="DJ70" s="1"/>
  <c r="DH70"/>
  <c r="DG68"/>
  <c r="DI68"/>
  <c r="DF68"/>
  <c r="DJ68" s="1"/>
  <c r="DH68"/>
  <c r="DG66"/>
  <c r="DI66"/>
  <c r="DF66"/>
  <c r="DJ66" s="1"/>
  <c r="DH66"/>
  <c r="DG64"/>
  <c r="DI64"/>
  <c r="DF64"/>
  <c r="DJ64" s="1"/>
  <c r="DH64"/>
  <c r="DG62"/>
  <c r="DI62"/>
  <c r="DF62"/>
  <c r="DJ62" s="1"/>
  <c r="DH62"/>
  <c r="DG49"/>
  <c r="Q243" i="1" s="1"/>
  <c r="DI49" i="3"/>
  <c r="DJ49" s="1"/>
  <c r="DF49"/>
  <c r="P243" i="1" s="1"/>
  <c r="DH49" i="3"/>
  <c r="R243" i="1" s="1"/>
  <c r="DG41" i="3"/>
  <c r="DI41"/>
  <c r="DF41"/>
  <c r="DJ41" s="1"/>
  <c r="DH41"/>
  <c r="DG30"/>
  <c r="Q237" i="1" s="1"/>
  <c r="DI30" i="3"/>
  <c r="DJ30" s="1"/>
  <c r="DF30"/>
  <c r="P237" i="1" s="1"/>
  <c r="DH30" i="3"/>
  <c r="R237" i="1" s="1"/>
  <c r="DG18" i="3"/>
  <c r="DI18"/>
  <c r="DF18"/>
  <c r="DJ18" s="1"/>
  <c r="DH18"/>
  <c r="DG16"/>
  <c r="DI16"/>
  <c r="DF16"/>
  <c r="DJ16" s="1"/>
  <c r="DH16"/>
  <c r="DG14"/>
  <c r="DI14"/>
  <c r="DF14"/>
  <c r="DJ14" s="1"/>
  <c r="DH14"/>
  <c r="DG12"/>
  <c r="DI12"/>
  <c r="DF12"/>
  <c r="DJ12" s="1"/>
  <c r="DH12"/>
  <c r="DF2"/>
  <c r="P28" i="1" s="1"/>
  <c r="DH2" i="3"/>
  <c r="R28" i="1" s="1"/>
  <c r="DG2" i="3"/>
  <c r="Q28" i="1" s="1"/>
  <c r="DI2" i="3"/>
  <c r="CX91"/>
  <c r="DI89"/>
  <c r="DH88"/>
  <c r="DI87"/>
  <c r="CX20"/>
  <c r="DI69"/>
  <c r="DI67"/>
  <c r="DI65"/>
  <c r="DI63"/>
  <c r="DI61"/>
  <c r="DI60"/>
  <c r="DI59"/>
  <c r="DI58"/>
  <c r="DI57"/>
  <c r="DJ57" s="1"/>
  <c r="DI55"/>
  <c r="DI53"/>
  <c r="DI48"/>
  <c r="DI46"/>
  <c r="DI42"/>
  <c r="DI40"/>
  <c r="DJ40" s="1"/>
  <c r="DI38"/>
  <c r="DI36"/>
  <c r="DI34"/>
  <c r="DI29"/>
  <c r="DI25"/>
  <c r="DI21"/>
  <c r="DI17"/>
  <c r="DI15"/>
  <c r="DI13"/>
  <c r="DI11"/>
  <c r="DI10"/>
  <c r="DI9"/>
  <c r="DI8"/>
  <c r="DJ8" s="1"/>
  <c r="DI6"/>
  <c r="DI4"/>
  <c r="DI3"/>
  <c r="AX26" i="1" l="1"/>
  <c r="BZ356"/>
  <c r="BY235"/>
  <c r="AD363"/>
  <c r="AD356" s="1"/>
  <c r="F265"/>
  <c r="AW386" i="6"/>
  <c r="AW324" i="7"/>
  <c r="CG26" i="1"/>
  <c r="CI256"/>
  <c r="AZ256" s="1"/>
  <c r="AS363"/>
  <c r="F380" s="1"/>
  <c r="AN411" i="6"/>
  <c r="M622" i="7"/>
  <c r="M620" s="1"/>
  <c r="AW399"/>
  <c r="AN374"/>
  <c r="AW186"/>
  <c r="AH35" i="1"/>
  <c r="AH26" s="1"/>
  <c r="G96" i="6"/>
  <c r="H84" i="7"/>
  <c r="O33" i="1"/>
  <c r="GM33" s="1"/>
  <c r="GP33" s="1"/>
  <c r="CD35" s="1"/>
  <c r="M87" i="7"/>
  <c r="L99" i="6"/>
  <c r="O252" i="1"/>
  <c r="GM252" s="1"/>
  <c r="GP252" s="1"/>
  <c r="M434" i="7"/>
  <c r="L446" i="6"/>
  <c r="O250" i="1"/>
  <c r="GM250" s="1"/>
  <c r="GP250" s="1"/>
  <c r="M412" i="7"/>
  <c r="L424" i="6"/>
  <c r="O254" i="1"/>
  <c r="GM254" s="1"/>
  <c r="GP254" s="1"/>
  <c r="M454" i="7"/>
  <c r="L466" i="6"/>
  <c r="AW89"/>
  <c r="AN89"/>
  <c r="AH139" i="1"/>
  <c r="AH132" s="1"/>
  <c r="H193" i="7"/>
  <c r="G205" i="6"/>
  <c r="O137" i="1"/>
  <c r="GM137" s="1"/>
  <c r="GP137" s="1"/>
  <c r="CD139" s="1"/>
  <c r="M196" i="7"/>
  <c r="L208" i="6"/>
  <c r="H419" i="7"/>
  <c r="G431" i="6"/>
  <c r="H406" i="7"/>
  <c r="G418" i="6"/>
  <c r="H441" i="7"/>
  <c r="G453" i="6"/>
  <c r="AW198"/>
  <c r="AN198"/>
  <c r="AW66"/>
  <c r="AN66"/>
  <c r="CI26" i="1"/>
  <c r="CI363"/>
  <c r="AW319" i="6"/>
  <c r="AN309"/>
  <c r="AW77" i="7"/>
  <c r="AW54"/>
  <c r="M216"/>
  <c r="M204"/>
  <c r="M187"/>
  <c r="M685"/>
  <c r="M599"/>
  <c r="M553"/>
  <c r="M673"/>
  <c r="M587"/>
  <c r="M585" s="1"/>
  <c r="M698"/>
  <c r="M649"/>
  <c r="M100"/>
  <c r="M647"/>
  <c r="M645" s="1"/>
  <c r="M98"/>
  <c r="M696"/>
  <c r="M694" s="1"/>
  <c r="M467"/>
  <c r="M474"/>
  <c r="M644"/>
  <c r="M642" s="1"/>
  <c r="M107"/>
  <c r="M693"/>
  <c r="M143"/>
  <c r="M140"/>
  <c r="M163" s="1"/>
  <c r="M433"/>
  <c r="M465"/>
  <c r="M463" s="1"/>
  <c r="M323"/>
  <c r="M298"/>
  <c r="M462"/>
  <c r="M205"/>
  <c r="M95"/>
  <c r="M705"/>
  <c r="M656"/>
  <c r="L685" i="6"/>
  <c r="L599"/>
  <c r="L697"/>
  <c r="L611"/>
  <c r="L565"/>
  <c r="L486"/>
  <c r="L310"/>
  <c r="L474"/>
  <c r="L708"/>
  <c r="L659"/>
  <c r="L110"/>
  <c r="L216"/>
  <c r="L199"/>
  <c r="L228"/>
  <c r="L479"/>
  <c r="K39"/>
  <c r="L717"/>
  <c r="L656"/>
  <c r="L107"/>
  <c r="L67"/>
  <c r="L705"/>
  <c r="L668"/>
  <c r="L119"/>
  <c r="L661"/>
  <c r="L112"/>
  <c r="K40"/>
  <c r="L710"/>
  <c r="L152"/>
  <c r="L175" s="1"/>
  <c r="L600"/>
  <c r="L270"/>
  <c r="L268" s="1"/>
  <c r="L259" s="1"/>
  <c r="L282" s="1"/>
  <c r="L217"/>
  <c r="L88"/>
  <c r="L477"/>
  <c r="L475" s="1"/>
  <c r="L197"/>
  <c r="DJ118" i="3"/>
  <c r="S360" i="1"/>
  <c r="U356"/>
  <c r="F385"/>
  <c r="AH256"/>
  <c r="AH235" s="1"/>
  <c r="DJ112" i="3"/>
  <c r="S358" i="1"/>
  <c r="DJ116" i="3"/>
  <c r="S359" i="1"/>
  <c r="U139"/>
  <c r="U35"/>
  <c r="DJ42" i="3"/>
  <c r="S241" i="1"/>
  <c r="CP241" s="1"/>
  <c r="O241" s="1"/>
  <c r="DJ48" i="3"/>
  <c r="S243" i="1"/>
  <c r="CP243" s="1"/>
  <c r="O243" s="1"/>
  <c r="DG20" i="3"/>
  <c r="DI20"/>
  <c r="DF20"/>
  <c r="DJ20" s="1"/>
  <c r="DH20"/>
  <c r="DF91"/>
  <c r="DJ91" s="1"/>
  <c r="DH91"/>
  <c r="DG91"/>
  <c r="DI91"/>
  <c r="DG76"/>
  <c r="DI76"/>
  <c r="DH76"/>
  <c r="R247" i="1" s="1"/>
  <c r="DF76" i="3"/>
  <c r="P247" i="1" s="1"/>
  <c r="AO26"/>
  <c r="F39"/>
  <c r="AO405"/>
  <c r="F52"/>
  <c r="AS26"/>
  <c r="DJ7" i="3"/>
  <c r="S30" i="1"/>
  <c r="DJ39" i="3"/>
  <c r="S239" i="1"/>
  <c r="CP239" s="1"/>
  <c r="O239" s="1"/>
  <c r="DJ56" i="3"/>
  <c r="S245" i="1"/>
  <c r="DF100" i="3"/>
  <c r="DJ100" s="1"/>
  <c r="DH100"/>
  <c r="DG100"/>
  <c r="DI100"/>
  <c r="DG110"/>
  <c r="DI110"/>
  <c r="DF110"/>
  <c r="DJ110" s="1"/>
  <c r="DH110"/>
  <c r="AP79" i="1"/>
  <c r="F97"/>
  <c r="AP405"/>
  <c r="AX79"/>
  <c r="F95"/>
  <c r="BB79"/>
  <c r="F101"/>
  <c r="BB405"/>
  <c r="F143"/>
  <c r="AO132"/>
  <c r="AS132"/>
  <c r="F156"/>
  <c r="F200"/>
  <c r="AP183"/>
  <c r="F198"/>
  <c r="AX183"/>
  <c r="F204"/>
  <c r="BB183"/>
  <c r="DG98" i="3"/>
  <c r="DJ98" s="1"/>
  <c r="DI98"/>
  <c r="DF98"/>
  <c r="DH98"/>
  <c r="DG96"/>
  <c r="DJ96" s="1"/>
  <c r="DI96"/>
  <c r="DF96"/>
  <c r="DH96"/>
  <c r="DG101"/>
  <c r="DI101"/>
  <c r="DF101"/>
  <c r="DJ101" s="1"/>
  <c r="DH101"/>
  <c r="DG105"/>
  <c r="DI105"/>
  <c r="DJ105" s="1"/>
  <c r="DF105"/>
  <c r="DH105"/>
  <c r="AJ26" i="1"/>
  <c r="W35"/>
  <c r="AO79"/>
  <c r="F92"/>
  <c r="AU79"/>
  <c r="F107"/>
  <c r="BC79"/>
  <c r="F104"/>
  <c r="BB132"/>
  <c r="F152"/>
  <c r="CG132"/>
  <c r="AX139"/>
  <c r="AO183"/>
  <c r="F195"/>
  <c r="AU183"/>
  <c r="F210"/>
  <c r="BC183"/>
  <c r="F207"/>
  <c r="AE356"/>
  <c r="R363"/>
  <c r="DJ120" i="3"/>
  <c r="S361" i="1"/>
  <c r="CP361" s="1"/>
  <c r="O361" s="1"/>
  <c r="AL79"/>
  <c r="Y88"/>
  <c r="DG93" i="3"/>
  <c r="DI93"/>
  <c r="DF93"/>
  <c r="DJ93" s="1"/>
  <c r="DH93"/>
  <c r="DG92"/>
  <c r="DI92"/>
  <c r="DF92"/>
  <c r="DJ92" s="1"/>
  <c r="DH92"/>
  <c r="DG107"/>
  <c r="DJ107" s="1"/>
  <c r="DI107"/>
  <c r="DF107"/>
  <c r="DH107"/>
  <c r="DF109"/>
  <c r="DJ109" s="1"/>
  <c r="DH109"/>
  <c r="DG109"/>
  <c r="DI109"/>
  <c r="DF104"/>
  <c r="DH104"/>
  <c r="DG104"/>
  <c r="DI104"/>
  <c r="AG79" i="1"/>
  <c r="T88"/>
  <c r="AE79"/>
  <c r="R88"/>
  <c r="AG132"/>
  <c r="T139"/>
  <c r="AI132"/>
  <c r="V139"/>
  <c r="AG183"/>
  <c r="T191"/>
  <c r="AE183"/>
  <c r="R191"/>
  <c r="T256"/>
  <c r="AG235"/>
  <c r="BC235"/>
  <c r="F272"/>
  <c r="CI235"/>
  <c r="F328"/>
  <c r="BC300"/>
  <c r="F372"/>
  <c r="AP356"/>
  <c r="F376"/>
  <c r="BB356"/>
  <c r="AC79"/>
  <c r="P88"/>
  <c r="CE88"/>
  <c r="CF88"/>
  <c r="CH88"/>
  <c r="AC183"/>
  <c r="P191"/>
  <c r="CE191"/>
  <c r="CF191"/>
  <c r="CH191"/>
  <c r="AJ79"/>
  <c r="W88"/>
  <c r="AJ183"/>
  <c r="W191"/>
  <c r="AS235"/>
  <c r="F273"/>
  <c r="AP300"/>
  <c r="F321"/>
  <c r="BB300"/>
  <c r="F325"/>
  <c r="AO356"/>
  <c r="F367"/>
  <c r="AS356"/>
  <c r="AF183"/>
  <c r="S191"/>
  <c r="AO235"/>
  <c r="F260"/>
  <c r="AQ235"/>
  <c r="F266"/>
  <c r="AJ300"/>
  <c r="W312"/>
  <c r="AG356"/>
  <c r="T363"/>
  <c r="AL300"/>
  <c r="Y312"/>
  <c r="CI300"/>
  <c r="AZ312"/>
  <c r="F322"/>
  <c r="AQ300"/>
  <c r="AU300"/>
  <c r="F331"/>
  <c r="F332"/>
  <c r="BA300"/>
  <c r="AG300"/>
  <c r="T312"/>
  <c r="AE300"/>
  <c r="R312"/>
  <c r="AJ356"/>
  <c r="W363"/>
  <c r="CJ356"/>
  <c r="BA363"/>
  <c r="CF312"/>
  <c r="CH312"/>
  <c r="AC300"/>
  <c r="P312"/>
  <c r="CE312"/>
  <c r="Q247"/>
  <c r="R30"/>
  <c r="R245"/>
  <c r="V251"/>
  <c r="GM303"/>
  <c r="GN303" s="1"/>
  <c r="GM305"/>
  <c r="GN305" s="1"/>
  <c r="GM307"/>
  <c r="GN307" s="1"/>
  <c r="GM309"/>
  <c r="GN309" s="1"/>
  <c r="DJ21" i="3"/>
  <c r="S134" i="1"/>
  <c r="CP134" s="1"/>
  <c r="O134" s="1"/>
  <c r="DJ29" i="3"/>
  <c r="S237" i="1"/>
  <c r="DJ2" i="3"/>
  <c r="S28" i="1"/>
  <c r="DJ75" i="3"/>
  <c r="S247" i="1"/>
  <c r="DG28" i="3"/>
  <c r="DI28"/>
  <c r="DF28"/>
  <c r="DJ28" s="1"/>
  <c r="DH28"/>
  <c r="AQ26" i="1"/>
  <c r="F45"/>
  <c r="AQ405"/>
  <c r="BC26"/>
  <c r="F51"/>
  <c r="BC405"/>
  <c r="DF19" i="3"/>
  <c r="P32" i="1" s="1"/>
  <c r="DH19" i="3"/>
  <c r="R32" i="1" s="1"/>
  <c r="DG19" i="3"/>
  <c r="Q32" i="1" s="1"/>
  <c r="DI19" i="3"/>
  <c r="DF94"/>
  <c r="DH94"/>
  <c r="DG94"/>
  <c r="DI94"/>
  <c r="DF102"/>
  <c r="DJ102" s="1"/>
  <c r="DH102"/>
  <c r="DG102"/>
  <c r="DI102"/>
  <c r="T35" i="1"/>
  <c r="AG26"/>
  <c r="GM81"/>
  <c r="AB88"/>
  <c r="AT79"/>
  <c r="F106"/>
  <c r="AZ79"/>
  <c r="F99"/>
  <c r="BD79"/>
  <c r="F113"/>
  <c r="BD405"/>
  <c r="F149"/>
  <c r="AQ132"/>
  <c r="F155"/>
  <c r="BC132"/>
  <c r="AT183"/>
  <c r="F209"/>
  <c r="F202"/>
  <c r="AZ183"/>
  <c r="F216"/>
  <c r="BD183"/>
  <c r="DF27" i="3"/>
  <c r="P136" i="1" s="1"/>
  <c r="DH27" i="3"/>
  <c r="R136" i="1" s="1"/>
  <c r="AE139" s="1"/>
  <c r="DG27" i="3"/>
  <c r="Q136" i="1" s="1"/>
  <c r="AD139" s="1"/>
  <c r="DI27" i="3"/>
  <c r="DG99"/>
  <c r="DI99"/>
  <c r="DF99"/>
  <c r="DH99"/>
  <c r="DG97"/>
  <c r="DI97"/>
  <c r="DF97"/>
  <c r="DH97"/>
  <c r="DG95"/>
  <c r="DI95"/>
  <c r="DJ95" s="1"/>
  <c r="DF95"/>
  <c r="DH95"/>
  <c r="DG103"/>
  <c r="DI103"/>
  <c r="DF103"/>
  <c r="DJ103" s="1"/>
  <c r="DH103"/>
  <c r="CJ26" i="1"/>
  <c r="BA35"/>
  <c r="V35"/>
  <c r="AI26"/>
  <c r="AQ79"/>
  <c r="F98"/>
  <c r="BA79"/>
  <c r="F108"/>
  <c r="AP132"/>
  <c r="F148"/>
  <c r="BD132"/>
  <c r="F164"/>
  <c r="CI132"/>
  <c r="AZ139"/>
  <c r="AQ183"/>
  <c r="F201"/>
  <c r="BA183"/>
  <c r="F211"/>
  <c r="AC363"/>
  <c r="Q363"/>
  <c r="AK79"/>
  <c r="X88"/>
  <c r="DG90" i="3"/>
  <c r="Q249" i="1" s="1"/>
  <c r="DI90" i="3"/>
  <c r="DF90"/>
  <c r="P249" i="1" s="1"/>
  <c r="DH90" i="3"/>
  <c r="R249" i="1" s="1"/>
  <c r="DG108" i="3"/>
  <c r="DI108"/>
  <c r="DF108"/>
  <c r="DH108"/>
  <c r="DG106"/>
  <c r="DI106"/>
  <c r="DF106"/>
  <c r="DH106"/>
  <c r="DF111"/>
  <c r="DJ111" s="1"/>
  <c r="DH111"/>
  <c r="DG111"/>
  <c r="DI111"/>
  <c r="AI79" i="1"/>
  <c r="V88"/>
  <c r="AH79"/>
  <c r="U88"/>
  <c r="CJ132"/>
  <c r="BA139"/>
  <c r="AI183"/>
  <c r="V191"/>
  <c r="AH183"/>
  <c r="U191"/>
  <c r="AX256"/>
  <c r="CG235"/>
  <c r="F316"/>
  <c r="AO300"/>
  <c r="F386"/>
  <c r="V356"/>
  <c r="AT356"/>
  <c r="F381"/>
  <c r="F388"/>
  <c r="BD356"/>
  <c r="AB191"/>
  <c r="GM185"/>
  <c r="BB235"/>
  <c r="F269"/>
  <c r="BD235"/>
  <c r="F281"/>
  <c r="AD79"/>
  <c r="Q88"/>
  <c r="AJ132"/>
  <c r="W139"/>
  <c r="AD183"/>
  <c r="Q191"/>
  <c r="AJ235"/>
  <c r="W256"/>
  <c r="BA235"/>
  <c r="F276"/>
  <c r="AT300"/>
  <c r="F330"/>
  <c r="BD300"/>
  <c r="F337"/>
  <c r="AQ356"/>
  <c r="F373"/>
  <c r="BC356"/>
  <c r="F379"/>
  <c r="AF79"/>
  <c r="S88"/>
  <c r="AK183"/>
  <c r="X191"/>
  <c r="AL183"/>
  <c r="Y191"/>
  <c r="AD300"/>
  <c r="Q312"/>
  <c r="AF300"/>
  <c r="S312"/>
  <c r="AK300"/>
  <c r="X312"/>
  <c r="CG300"/>
  <c r="AX312"/>
  <c r="AI300"/>
  <c r="V312"/>
  <c r="AH300"/>
  <c r="U312"/>
  <c r="GM302"/>
  <c r="AB312"/>
  <c r="F370"/>
  <c r="AX356"/>
  <c r="AE35"/>
  <c r="P30"/>
  <c r="Q30"/>
  <c r="P245"/>
  <c r="Q245"/>
  <c r="V253"/>
  <c r="GM304"/>
  <c r="GN304" s="1"/>
  <c r="GM306"/>
  <c r="GN306" s="1"/>
  <c r="GM308"/>
  <c r="GN308" s="1"/>
  <c r="GM310"/>
  <c r="GN310" s="1"/>
  <c r="CD256" l="1"/>
  <c r="AU256" s="1"/>
  <c r="AD35"/>
  <c r="M104" i="7"/>
  <c r="M102" s="1"/>
  <c r="M93" s="1"/>
  <c r="H444"/>
  <c r="G456" i="6"/>
  <c r="G625"/>
  <c r="H613" i="7"/>
  <c r="AZ363" i="1"/>
  <c r="CI356"/>
  <c r="AN208" i="6"/>
  <c r="AW208"/>
  <c r="L225" s="1"/>
  <c r="L223" s="1"/>
  <c r="L214" s="1"/>
  <c r="AW466"/>
  <c r="AN466"/>
  <c r="AN412" i="7"/>
  <c r="AW412"/>
  <c r="AW446" i="6"/>
  <c r="AN446"/>
  <c r="AW87" i="7"/>
  <c r="AN87"/>
  <c r="H422"/>
  <c r="G434" i="6"/>
  <c r="H612" i="7"/>
  <c r="G624" i="6"/>
  <c r="AW196" i="7"/>
  <c r="M213" s="1"/>
  <c r="M211" s="1"/>
  <c r="AN196"/>
  <c r="AN454"/>
  <c r="AW454"/>
  <c r="AW424" i="6"/>
  <c r="AN424"/>
  <c r="AN434" i="7"/>
  <c r="AW434"/>
  <c r="AN99" i="6"/>
  <c r="AW99"/>
  <c r="CP30" i="1"/>
  <c r="O30" s="1"/>
  <c r="L483" i="6"/>
  <c r="L481" s="1"/>
  <c r="L472" s="1"/>
  <c r="M96" i="7"/>
  <c r="M202"/>
  <c r="L657" i="6"/>
  <c r="L654" s="1"/>
  <c r="L597"/>
  <c r="L108"/>
  <c r="L706"/>
  <c r="U256" i="1"/>
  <c r="CY359"/>
  <c r="X359" s="1"/>
  <c r="CZ359"/>
  <c r="Y359" s="1"/>
  <c r="CP359"/>
  <c r="O359" s="1"/>
  <c r="GM359" s="1"/>
  <c r="GP359" s="1"/>
  <c r="CY358"/>
  <c r="X358" s="1"/>
  <c r="CZ358"/>
  <c r="Y358" s="1"/>
  <c r="CP358"/>
  <c r="O358" s="1"/>
  <c r="DJ106" i="3"/>
  <c r="DJ108"/>
  <c r="DJ97"/>
  <c r="DJ99"/>
  <c r="CY360" i="1"/>
  <c r="X360" s="1"/>
  <c r="CZ360"/>
  <c r="Y360" s="1"/>
  <c r="CP360"/>
  <c r="O360" s="1"/>
  <c r="GM360" s="1"/>
  <c r="GP360" s="1"/>
  <c r="AE132"/>
  <c r="R139"/>
  <c r="AD26"/>
  <c r="Q35"/>
  <c r="AD132"/>
  <c r="Q139"/>
  <c r="AB300"/>
  <c r="O312"/>
  <c r="F334"/>
  <c r="U300"/>
  <c r="V300"/>
  <c r="F335"/>
  <c r="AX300"/>
  <c r="F319"/>
  <c r="X300"/>
  <c r="F338"/>
  <c r="S300"/>
  <c r="F327"/>
  <c r="F324"/>
  <c r="Q300"/>
  <c r="Y183"/>
  <c r="F218"/>
  <c r="X183"/>
  <c r="F217"/>
  <c r="S79"/>
  <c r="F103"/>
  <c r="W235"/>
  <c r="F280"/>
  <c r="Q183"/>
  <c r="F203"/>
  <c r="F163"/>
  <c r="W132"/>
  <c r="Q79"/>
  <c r="F100"/>
  <c r="GN185"/>
  <c r="CB191" s="1"/>
  <c r="CA191"/>
  <c r="U183"/>
  <c r="F213"/>
  <c r="F214"/>
  <c r="V183"/>
  <c r="F159"/>
  <c r="BA132"/>
  <c r="U79"/>
  <c r="F110"/>
  <c r="V79"/>
  <c r="F111"/>
  <c r="DJ90" i="3"/>
  <c r="S249" i="1"/>
  <c r="CP249" s="1"/>
  <c r="O249" s="1"/>
  <c r="X79"/>
  <c r="F114"/>
  <c r="Q356"/>
  <c r="F375"/>
  <c r="AC356"/>
  <c r="P363"/>
  <c r="CE363"/>
  <c r="CF363"/>
  <c r="CH363"/>
  <c r="AZ132"/>
  <c r="F150"/>
  <c r="BA26"/>
  <c r="F55"/>
  <c r="BA405"/>
  <c r="DJ27" i="3"/>
  <c r="S136" i="1"/>
  <c r="CP136" s="1"/>
  <c r="O136" s="1"/>
  <c r="BD22"/>
  <c r="BD447"/>
  <c r="F430"/>
  <c r="AB79"/>
  <c r="O88"/>
  <c r="DJ94" i="3"/>
  <c r="S251" i="1"/>
  <c r="DJ19" i="3"/>
  <c r="S32" i="1"/>
  <c r="BC22"/>
  <c r="F421"/>
  <c r="BC447"/>
  <c r="CZ247"/>
  <c r="Y247" s="1"/>
  <c r="CY247"/>
  <c r="X247" s="1"/>
  <c r="CY28"/>
  <c r="X28" s="1"/>
  <c r="AF35"/>
  <c r="CZ28"/>
  <c r="Y28" s="1"/>
  <c r="CY237"/>
  <c r="X237" s="1"/>
  <c r="CZ237"/>
  <c r="Y237" s="1"/>
  <c r="CY134"/>
  <c r="X134" s="1"/>
  <c r="CZ134"/>
  <c r="Y134" s="1"/>
  <c r="CD235"/>
  <c r="CD26"/>
  <c r="AU35"/>
  <c r="P300"/>
  <c r="F315"/>
  <c r="CH300"/>
  <c r="AY312"/>
  <c r="BA356"/>
  <c r="F383"/>
  <c r="W356"/>
  <c r="F387"/>
  <c r="R300"/>
  <c r="F326"/>
  <c r="T300"/>
  <c r="F333"/>
  <c r="AZ300"/>
  <c r="F323"/>
  <c r="Y300"/>
  <c r="F339"/>
  <c r="F384"/>
  <c r="T356"/>
  <c r="F336"/>
  <c r="W300"/>
  <c r="S183"/>
  <c r="F206"/>
  <c r="W183"/>
  <c r="F215"/>
  <c r="W79"/>
  <c r="F112"/>
  <c r="CH183"/>
  <c r="AY191"/>
  <c r="CE183"/>
  <c r="AV191"/>
  <c r="CF79"/>
  <c r="AW88"/>
  <c r="P79"/>
  <c r="F91"/>
  <c r="R183"/>
  <c r="F205"/>
  <c r="F212"/>
  <c r="T183"/>
  <c r="V132"/>
  <c r="F162"/>
  <c r="T132"/>
  <c r="F160"/>
  <c r="R79"/>
  <c r="F102"/>
  <c r="T79"/>
  <c r="F109"/>
  <c r="DJ104" i="3"/>
  <c r="S253" i="1"/>
  <c r="Y79"/>
  <c r="F115"/>
  <c r="CZ361"/>
  <c r="Y361" s="1"/>
  <c r="AF363"/>
  <c r="CY361"/>
  <c r="X361" s="1"/>
  <c r="R356"/>
  <c r="F377"/>
  <c r="AX132"/>
  <c r="F146"/>
  <c r="W26"/>
  <c r="F59"/>
  <c r="W405"/>
  <c r="BB22"/>
  <c r="BB447"/>
  <c r="F418"/>
  <c r="AP22"/>
  <c r="AP447"/>
  <c r="F414"/>
  <c r="AO22"/>
  <c r="F409"/>
  <c r="AO447"/>
  <c r="CP245"/>
  <c r="O245" s="1"/>
  <c r="R251"/>
  <c r="R253"/>
  <c r="DJ76" i="3"/>
  <c r="CP237" i="1"/>
  <c r="O237" s="1"/>
  <c r="CP28"/>
  <c r="O28" s="1"/>
  <c r="R35"/>
  <c r="AE26"/>
  <c r="GN302"/>
  <c r="CB312" s="1"/>
  <c r="CA312"/>
  <c r="AB183"/>
  <c r="O191"/>
  <c r="AX235"/>
  <c r="F263"/>
  <c r="V26"/>
  <c r="F58"/>
  <c r="GN81"/>
  <c r="CB88" s="1"/>
  <c r="CA88"/>
  <c r="T26"/>
  <c r="F56"/>
  <c r="T405"/>
  <c r="AQ22"/>
  <c r="F415"/>
  <c r="AQ447"/>
  <c r="CD132"/>
  <c r="AU139"/>
  <c r="CE300"/>
  <c r="AV312"/>
  <c r="CF300"/>
  <c r="AW312"/>
  <c r="CF183"/>
  <c r="AW191"/>
  <c r="F194"/>
  <c r="P183"/>
  <c r="CH79"/>
  <c r="AY88"/>
  <c r="CE79"/>
  <c r="AV88"/>
  <c r="AZ235"/>
  <c r="F267"/>
  <c r="T235"/>
  <c r="F277"/>
  <c r="CY245"/>
  <c r="X245" s="1"/>
  <c r="CZ245"/>
  <c r="Y245" s="1"/>
  <c r="CZ239"/>
  <c r="Y239" s="1"/>
  <c r="CY239"/>
  <c r="X239" s="1"/>
  <c r="CZ30"/>
  <c r="Y30" s="1"/>
  <c r="CY30"/>
  <c r="X30" s="1"/>
  <c r="CZ243"/>
  <c r="Y243" s="1"/>
  <c r="CY243"/>
  <c r="X243" s="1"/>
  <c r="CY241"/>
  <c r="X241" s="1"/>
  <c r="CZ241"/>
  <c r="Y241" s="1"/>
  <c r="U26"/>
  <c r="F57"/>
  <c r="U405"/>
  <c r="U235"/>
  <c r="F278"/>
  <c r="F161"/>
  <c r="U132"/>
  <c r="AZ405"/>
  <c r="Q251"/>
  <c r="P251"/>
  <c r="CP32"/>
  <c r="O32" s="1"/>
  <c r="AC139"/>
  <c r="AI256"/>
  <c r="Q253"/>
  <c r="P253"/>
  <c r="AX405"/>
  <c r="CP247"/>
  <c r="O247" s="1"/>
  <c r="AC256"/>
  <c r="AC35"/>
  <c r="AB363" l="1"/>
  <c r="AB356" s="1"/>
  <c r="H229" i="7"/>
  <c r="G241" i="6"/>
  <c r="H120" i="7"/>
  <c r="G132" i="6"/>
  <c r="BA328" i="7"/>
  <c r="M327" s="1"/>
  <c r="BA340" i="6"/>
  <c r="L339" s="1"/>
  <c r="AZ348" i="7"/>
  <c r="M346" s="1"/>
  <c r="AZ360" i="6"/>
  <c r="L358" s="1"/>
  <c r="AZ81" i="7"/>
  <c r="M79" s="1"/>
  <c r="AZ93" i="6"/>
  <c r="L91" s="1"/>
  <c r="AZ311" i="7"/>
  <c r="M309" s="1"/>
  <c r="AZ323" i="6"/>
  <c r="L321" s="1"/>
  <c r="BA378" i="7"/>
  <c r="M377" s="1"/>
  <c r="BA390" i="6"/>
  <c r="L389" s="1"/>
  <c r="G133"/>
  <c r="H121" i="7"/>
  <c r="AK363" i="1"/>
  <c r="AZ595" i="6"/>
  <c r="L593" s="1"/>
  <c r="AZ583" i="7"/>
  <c r="M581" s="1"/>
  <c r="AL363" i="1"/>
  <c r="AL356" s="1"/>
  <c r="BA583" i="7"/>
  <c r="M582" s="1"/>
  <c r="BA595" i="6"/>
  <c r="L594" s="1"/>
  <c r="AZ202"/>
  <c r="AZ190" i="7"/>
  <c r="AZ313" i="6"/>
  <c r="AZ301" i="7"/>
  <c r="AZ415" i="6"/>
  <c r="L413" s="1"/>
  <c r="AZ403" i="7"/>
  <c r="M401" s="1"/>
  <c r="AZ586" i="6"/>
  <c r="L584" s="1"/>
  <c r="AZ574" i="7"/>
  <c r="M572" s="1"/>
  <c r="BA556"/>
  <c r="BA568" i="6"/>
  <c r="AZ577"/>
  <c r="L575" s="1"/>
  <c r="AZ565" i="7"/>
  <c r="M563" s="1"/>
  <c r="L714" i="6"/>
  <c r="L712" s="1"/>
  <c r="L694"/>
  <c r="L692" s="1"/>
  <c r="L683" s="1"/>
  <c r="L116"/>
  <c r="L114" s="1"/>
  <c r="G499"/>
  <c r="H487" i="7"/>
  <c r="AZ328"/>
  <c r="M326" s="1"/>
  <c r="AZ340" i="6"/>
  <c r="L338" s="1"/>
  <c r="BA348" i="7"/>
  <c r="M347" s="1"/>
  <c r="BA360" i="6"/>
  <c r="L359" s="1"/>
  <c r="GM30" i="1"/>
  <c r="GO30" s="1"/>
  <c r="BA93" i="6"/>
  <c r="L92" s="1"/>
  <c r="BA81" i="7"/>
  <c r="M80" s="1"/>
  <c r="BA323" i="6"/>
  <c r="L322" s="1"/>
  <c r="BA311" i="7"/>
  <c r="M310" s="1"/>
  <c r="AZ378"/>
  <c r="M376" s="1"/>
  <c r="AZ390" i="6"/>
  <c r="L388" s="1"/>
  <c r="G16" i="2"/>
  <c r="G18" s="1"/>
  <c r="C43" i="6"/>
  <c r="H230" i="7"/>
  <c r="G242" i="6"/>
  <c r="BA190" i="7"/>
  <c r="BA202" i="6"/>
  <c r="BA301" i="7"/>
  <c r="BA313" i="6"/>
  <c r="BA58" i="7"/>
  <c r="BA70" i="6"/>
  <c r="AZ58" i="7"/>
  <c r="AZ70" i="6"/>
  <c r="BA403" i="7"/>
  <c r="M402" s="1"/>
  <c r="BA415" i="6"/>
  <c r="L414" s="1"/>
  <c r="BA574" i="7"/>
  <c r="M573" s="1"/>
  <c r="BA586" i="6"/>
  <c r="L585" s="1"/>
  <c r="AZ568"/>
  <c r="AZ556" i="7"/>
  <c r="BA565"/>
  <c r="M564" s="1"/>
  <c r="BA577" i="6"/>
  <c r="L576" s="1"/>
  <c r="M682" i="7"/>
  <c r="M680" s="1"/>
  <c r="M671" s="1"/>
  <c r="M702"/>
  <c r="M700" s="1"/>
  <c r="M691" s="1"/>
  <c r="AZ356" i="1"/>
  <c r="F374"/>
  <c r="L105" i="6"/>
  <c r="M471" i="7"/>
  <c r="M469" s="1"/>
  <c r="M460" s="1"/>
  <c r="GM247" i="1"/>
  <c r="GO247" s="1"/>
  <c r="GM361"/>
  <c r="L703" i="6"/>
  <c r="GM241" i="1"/>
  <c r="GO241" s="1"/>
  <c r="AD256"/>
  <c r="Q256" s="1"/>
  <c r="Q405" s="1"/>
  <c r="GM243"/>
  <c r="GO243" s="1"/>
  <c r="GM239"/>
  <c r="GO239" s="1"/>
  <c r="GM358"/>
  <c r="GP358" s="1"/>
  <c r="AD235"/>
  <c r="P256"/>
  <c r="AC235"/>
  <c r="CE256"/>
  <c r="CF256"/>
  <c r="CH256"/>
  <c r="AV79"/>
  <c r="F93"/>
  <c r="AY79"/>
  <c r="F96"/>
  <c r="AW183"/>
  <c r="F197"/>
  <c r="F318"/>
  <c r="AW300"/>
  <c r="AV300"/>
  <c r="F317"/>
  <c r="AU132"/>
  <c r="F158"/>
  <c r="AQ18"/>
  <c r="F457"/>
  <c r="CA79"/>
  <c r="AR88"/>
  <c r="CB300"/>
  <c r="AS312"/>
  <c r="R26"/>
  <c r="F49"/>
  <c r="GM237"/>
  <c r="AO18"/>
  <c r="F451"/>
  <c r="AP18"/>
  <c r="F456"/>
  <c r="AK356"/>
  <c r="X363"/>
  <c r="AF26"/>
  <c r="S35"/>
  <c r="BC18"/>
  <c r="F463"/>
  <c r="BD18"/>
  <c r="F472"/>
  <c r="CZ136"/>
  <c r="Y136" s="1"/>
  <c r="AL139" s="1"/>
  <c r="CY136"/>
  <c r="X136" s="1"/>
  <c r="BA22"/>
  <c r="F425"/>
  <c r="BA447"/>
  <c r="CF356"/>
  <c r="AW363"/>
  <c r="F366"/>
  <c r="P356"/>
  <c r="CY249"/>
  <c r="X249" s="1"/>
  <c r="CZ249"/>
  <c r="Y249" s="1"/>
  <c r="CA183"/>
  <c r="AR191"/>
  <c r="F314"/>
  <c r="O300"/>
  <c r="F151"/>
  <c r="Q132"/>
  <c r="Q26"/>
  <c r="F47"/>
  <c r="AE256"/>
  <c r="GM245"/>
  <c r="GO245" s="1"/>
  <c r="GM134"/>
  <c r="AX22"/>
  <c r="AX447"/>
  <c r="F412"/>
  <c r="V256"/>
  <c r="AI235"/>
  <c r="P35"/>
  <c r="CE35"/>
  <c r="AC26"/>
  <c r="CF35"/>
  <c r="CH35"/>
  <c r="CF139"/>
  <c r="CH139"/>
  <c r="AC132"/>
  <c r="P139"/>
  <c r="CE139"/>
  <c r="AZ22"/>
  <c r="AZ447"/>
  <c r="F416"/>
  <c r="U22"/>
  <c r="F427"/>
  <c r="U447"/>
  <c r="T22"/>
  <c r="F426"/>
  <c r="T447"/>
  <c r="CB79"/>
  <c r="AS88"/>
  <c r="O363"/>
  <c r="O183"/>
  <c r="F193"/>
  <c r="CA300"/>
  <c r="AR312"/>
  <c r="GM28"/>
  <c r="AB35"/>
  <c r="BB18"/>
  <c r="F460"/>
  <c r="W22"/>
  <c r="F429"/>
  <c r="W447"/>
  <c r="AF356"/>
  <c r="S363"/>
  <c r="CY253"/>
  <c r="X253" s="1"/>
  <c r="CZ253"/>
  <c r="Y253" s="1"/>
  <c r="AW79"/>
  <c r="F94"/>
  <c r="F196"/>
  <c r="AV183"/>
  <c r="AY183"/>
  <c r="F199"/>
  <c r="F320"/>
  <c r="AY300"/>
  <c r="F54"/>
  <c r="AU26"/>
  <c r="AU235"/>
  <c r="F275"/>
  <c r="CY32"/>
  <c r="X32" s="1"/>
  <c r="AK35" s="1"/>
  <c r="CZ32"/>
  <c r="Y32" s="1"/>
  <c r="CZ251"/>
  <c r="Y251" s="1"/>
  <c r="CY251"/>
  <c r="X251" s="1"/>
  <c r="O79"/>
  <c r="F90"/>
  <c r="CH356"/>
  <c r="AY363"/>
  <c r="CE356"/>
  <c r="AV363"/>
  <c r="CB183"/>
  <c r="AS191"/>
  <c r="R132"/>
  <c r="F153"/>
  <c r="GM136"/>
  <c r="GO136" s="1"/>
  <c r="CP253"/>
  <c r="O253" s="1"/>
  <c r="CP251"/>
  <c r="O251" s="1"/>
  <c r="GM251" s="1"/>
  <c r="GO251" s="1"/>
  <c r="AF139"/>
  <c r="AF256"/>
  <c r="AB139"/>
  <c r="CA363" l="1"/>
  <c r="AR363" s="1"/>
  <c r="Y363"/>
  <c r="Y356" s="1"/>
  <c r="GP361"/>
  <c r="CD363" s="1"/>
  <c r="CD356" s="1"/>
  <c r="AK256"/>
  <c r="X256" s="1"/>
  <c r="AZ450" i="6"/>
  <c r="L448" s="1"/>
  <c r="AZ438" i="7"/>
  <c r="M436" s="1"/>
  <c r="BA91"/>
  <c r="M90" s="1"/>
  <c r="BA103" i="6"/>
  <c r="L102" s="1"/>
  <c r="BA458" i="7"/>
  <c r="M457" s="1"/>
  <c r="BA470" i="6"/>
  <c r="L469" s="1"/>
  <c r="AZ416" i="7"/>
  <c r="M414" s="1"/>
  <c r="AZ428" i="6"/>
  <c r="L426" s="1"/>
  <c r="AZ200" i="7"/>
  <c r="M198" s="1"/>
  <c r="AZ212" i="6"/>
  <c r="L210" s="1"/>
  <c r="M600" i="7"/>
  <c r="M686"/>
  <c r="M554"/>
  <c r="L68" i="6"/>
  <c r="L69"/>
  <c r="L312"/>
  <c r="L201"/>
  <c r="K390"/>
  <c r="I390" s="1"/>
  <c r="AN390"/>
  <c r="L328" i="7"/>
  <c r="J328" s="1"/>
  <c r="AN328"/>
  <c r="AN565"/>
  <c r="L565"/>
  <c r="L613" i="6"/>
  <c r="L699"/>
  <c r="L567"/>
  <c r="AN574" i="7"/>
  <c r="L574"/>
  <c r="L403"/>
  <c r="J403" s="1"/>
  <c r="AN403"/>
  <c r="M299"/>
  <c r="M188"/>
  <c r="K595" i="6"/>
  <c r="AN595"/>
  <c r="K323"/>
  <c r="I323" s="1"/>
  <c r="AN323"/>
  <c r="K93"/>
  <c r="I93" s="1"/>
  <c r="AN93"/>
  <c r="K360"/>
  <c r="I360" s="1"/>
  <c r="AN360"/>
  <c r="AL256" i="1"/>
  <c r="Y256" s="1"/>
  <c r="BA438" i="7"/>
  <c r="M437" s="1"/>
  <c r="BA450" i="6"/>
  <c r="L449" s="1"/>
  <c r="AZ103"/>
  <c r="L101" s="1"/>
  <c r="K103" s="1"/>
  <c r="I103" s="1"/>
  <c r="AZ91" i="7"/>
  <c r="M89" s="1"/>
  <c r="AZ470" i="6"/>
  <c r="L468" s="1"/>
  <c r="AZ458" i="7"/>
  <c r="M456" s="1"/>
  <c r="G728" i="6"/>
  <c r="H716" i="7"/>
  <c r="K41" i="6"/>
  <c r="BA416" i="7"/>
  <c r="M415" s="1"/>
  <c r="BA428" i="6"/>
  <c r="L427" s="1"/>
  <c r="BA200" i="7"/>
  <c r="M199" s="1"/>
  <c r="BA212" i="6"/>
  <c r="L211" s="1"/>
  <c r="L612"/>
  <c r="L698"/>
  <c r="L566"/>
  <c r="M56" i="7"/>
  <c r="M57"/>
  <c r="M300"/>
  <c r="M189"/>
  <c r="AN190" s="1"/>
  <c r="AN378"/>
  <c r="L378"/>
  <c r="J378" s="1"/>
  <c r="K340" i="6"/>
  <c r="I340" s="1"/>
  <c r="AN340"/>
  <c r="K577"/>
  <c r="AN577"/>
  <c r="M601" i="7"/>
  <c r="M687"/>
  <c r="M665" s="1"/>
  <c r="M712" s="1"/>
  <c r="M555"/>
  <c r="K586" i="6"/>
  <c r="AN586"/>
  <c r="K415"/>
  <c r="I415" s="1"/>
  <c r="AN415"/>
  <c r="L311"/>
  <c r="L200"/>
  <c r="AN583" i="7"/>
  <c r="L583"/>
  <c r="L311"/>
  <c r="J311" s="1"/>
  <c r="AN311"/>
  <c r="AN81"/>
  <c r="L81"/>
  <c r="J81" s="1"/>
  <c r="L348"/>
  <c r="J348" s="1"/>
  <c r="AN348"/>
  <c r="AL35" i="1"/>
  <c r="Y35" s="1"/>
  <c r="AK139"/>
  <c r="X139" s="1"/>
  <c r="GM249"/>
  <c r="GO249" s="1"/>
  <c r="GM253"/>
  <c r="GO253" s="1"/>
  <c r="GM32"/>
  <c r="GO32" s="1"/>
  <c r="AK235"/>
  <c r="X35"/>
  <c r="AK26"/>
  <c r="AB132"/>
  <c r="O139"/>
  <c r="AL26"/>
  <c r="S356"/>
  <c r="F378"/>
  <c r="W18"/>
  <c r="F471"/>
  <c r="GO28"/>
  <c r="CC35" s="1"/>
  <c r="U18"/>
  <c r="F469"/>
  <c r="AZ18"/>
  <c r="F458"/>
  <c r="CE132"/>
  <c r="AV139"/>
  <c r="CF132"/>
  <c r="AW139"/>
  <c r="CF26"/>
  <c r="AW35"/>
  <c r="AV35"/>
  <c r="CE26"/>
  <c r="AL132"/>
  <c r="Y139"/>
  <c r="R256"/>
  <c r="AE235"/>
  <c r="AR183"/>
  <c r="F219"/>
  <c r="F229" s="1"/>
  <c r="AW356"/>
  <c r="F369"/>
  <c r="BA18"/>
  <c r="F467"/>
  <c r="GO237"/>
  <c r="AS300"/>
  <c r="F329"/>
  <c r="AR79"/>
  <c r="F116"/>
  <c r="F126" s="1"/>
  <c r="CH235"/>
  <c r="AY256"/>
  <c r="AV256"/>
  <c r="CE235"/>
  <c r="P235"/>
  <c r="F259"/>
  <c r="AF235"/>
  <c r="S256"/>
  <c r="AF132"/>
  <c r="S139"/>
  <c r="AS183"/>
  <c r="F208"/>
  <c r="F368"/>
  <c r="AV356"/>
  <c r="AY356"/>
  <c r="F371"/>
  <c r="AB26"/>
  <c r="O35"/>
  <c r="AR300"/>
  <c r="F340"/>
  <c r="F350" s="1"/>
  <c r="O356"/>
  <c r="F365"/>
  <c r="AS79"/>
  <c r="F105"/>
  <c r="AS405"/>
  <c r="T18"/>
  <c r="F468"/>
  <c r="P132"/>
  <c r="F142"/>
  <c r="CH132"/>
  <c r="AY139"/>
  <c r="CH26"/>
  <c r="AY35"/>
  <c r="P26"/>
  <c r="F38"/>
  <c r="P405"/>
  <c r="V235"/>
  <c r="F279"/>
  <c r="V405"/>
  <c r="AX18"/>
  <c r="F454"/>
  <c r="GO134"/>
  <c r="CC139" s="1"/>
  <c r="CA139"/>
  <c r="Q22"/>
  <c r="F417"/>
  <c r="Q447"/>
  <c r="F50"/>
  <c r="S26"/>
  <c r="S405"/>
  <c r="F390"/>
  <c r="X356"/>
  <c r="F389"/>
  <c r="AU363"/>
  <c r="CF235"/>
  <c r="AW256"/>
  <c r="Q235"/>
  <c r="F268"/>
  <c r="AB256"/>
  <c r="CA356" l="1"/>
  <c r="CA35"/>
  <c r="AK132"/>
  <c r="L229" i="6"/>
  <c r="M707" i="7"/>
  <c r="L620" i="6"/>
  <c r="L681"/>
  <c r="L121"/>
  <c r="L120"/>
  <c r="M608" i="7"/>
  <c r="CC256" i="1"/>
  <c r="CC235" s="1"/>
  <c r="AL235"/>
  <c r="L487" i="6"/>
  <c r="AN58" i="7"/>
  <c r="M108"/>
  <c r="M116" s="1"/>
  <c r="M706"/>
  <c r="BU586" i="6"/>
  <c r="BR586"/>
  <c r="BV586"/>
  <c r="I586"/>
  <c r="AN568"/>
  <c r="K568"/>
  <c r="AN458" i="7"/>
  <c r="L458"/>
  <c r="J458" s="1"/>
  <c r="L91"/>
  <c r="J91" s="1"/>
  <c r="AN91"/>
  <c r="BU595" i="6"/>
  <c r="BR595"/>
  <c r="BV595"/>
  <c r="I595"/>
  <c r="BR565" i="7"/>
  <c r="BU565"/>
  <c r="BV565" s="1"/>
  <c r="J565"/>
  <c r="AN70" i="6"/>
  <c r="K70"/>
  <c r="I70" s="1"/>
  <c r="AN556" i="7"/>
  <c r="L556"/>
  <c r="L200"/>
  <c r="J200" s="1"/>
  <c r="AN200"/>
  <c r="AN416"/>
  <c r="L416"/>
  <c r="J416" s="1"/>
  <c r="AN450" i="6"/>
  <c r="K450"/>
  <c r="I450" s="1"/>
  <c r="H488" i="7"/>
  <c r="G500" i="6"/>
  <c r="BR583" i="7"/>
  <c r="BU583"/>
  <c r="BV583" s="1"/>
  <c r="J583"/>
  <c r="K202" i="6"/>
  <c r="I202" s="1"/>
  <c r="AN202"/>
  <c r="AN313"/>
  <c r="K313"/>
  <c r="I313" s="1"/>
  <c r="BU577"/>
  <c r="BR577"/>
  <c r="BV577"/>
  <c r="I577"/>
  <c r="K470"/>
  <c r="I470" s="1"/>
  <c r="AN470"/>
  <c r="L301" i="7"/>
  <c r="J301" s="1"/>
  <c r="AN301"/>
  <c r="BR574"/>
  <c r="BU574"/>
  <c r="BV574" s="1"/>
  <c r="J574"/>
  <c r="K212" i="6"/>
  <c r="I212" s="1"/>
  <c r="AN212"/>
  <c r="AN428"/>
  <c r="K428"/>
  <c r="I428" s="1"/>
  <c r="L438" i="7"/>
  <c r="J438" s="1"/>
  <c r="AN438"/>
  <c r="M669"/>
  <c r="L190"/>
  <c r="J190" s="1"/>
  <c r="M475"/>
  <c r="CA256" i="1"/>
  <c r="CA235" s="1"/>
  <c r="M218" i="7"/>
  <c r="M476"/>
  <c r="M109"/>
  <c r="M658"/>
  <c r="L58"/>
  <c r="J58" s="1"/>
  <c r="M657"/>
  <c r="M640" s="1"/>
  <c r="M689" s="1"/>
  <c r="L677" i="6"/>
  <c r="L724" s="1"/>
  <c r="M217" i="7"/>
  <c r="L230" i="6"/>
  <c r="L488"/>
  <c r="L719"/>
  <c r="L670"/>
  <c r="L718"/>
  <c r="L669"/>
  <c r="L652" s="1"/>
  <c r="AN103"/>
  <c r="CC132" i="1"/>
  <c r="AT139"/>
  <c r="AW235"/>
  <c r="F262"/>
  <c r="AU356"/>
  <c r="F382"/>
  <c r="AU405"/>
  <c r="S22"/>
  <c r="S447"/>
  <c r="F420"/>
  <c r="CA132"/>
  <c r="AR139"/>
  <c r="V22"/>
  <c r="F428"/>
  <c r="V447"/>
  <c r="AY26"/>
  <c r="F43"/>
  <c r="AY405"/>
  <c r="F147"/>
  <c r="AY132"/>
  <c r="AS22"/>
  <c r="F422"/>
  <c r="AS447"/>
  <c r="AV235"/>
  <c r="F261"/>
  <c r="AT256"/>
  <c r="R235"/>
  <c r="F270"/>
  <c r="R405"/>
  <c r="AV26"/>
  <c r="F40"/>
  <c r="AV405"/>
  <c r="AT35"/>
  <c r="CC26"/>
  <c r="X26"/>
  <c r="F61"/>
  <c r="X405"/>
  <c r="X235"/>
  <c r="F282"/>
  <c r="AB235"/>
  <c r="O256"/>
  <c r="Q18"/>
  <c r="F459"/>
  <c r="P22"/>
  <c r="F408"/>
  <c r="P447"/>
  <c r="F352"/>
  <c r="F351"/>
  <c r="O26"/>
  <c r="F37"/>
  <c r="O405"/>
  <c r="S132"/>
  <c r="F154"/>
  <c r="S235"/>
  <c r="F271"/>
  <c r="AY235"/>
  <c r="F264"/>
  <c r="F127"/>
  <c r="F128"/>
  <c r="AR356"/>
  <c r="F391"/>
  <c r="F401" s="1"/>
  <c r="AR256"/>
  <c r="F230"/>
  <c r="F231"/>
  <c r="Y132"/>
  <c r="F166"/>
  <c r="AW26"/>
  <c r="F41"/>
  <c r="AW405"/>
  <c r="F145"/>
  <c r="AW132"/>
  <c r="AV132"/>
  <c r="F144"/>
  <c r="AR35"/>
  <c r="CA26"/>
  <c r="X132"/>
  <c r="F165"/>
  <c r="F62"/>
  <c r="Y26"/>
  <c r="Y405"/>
  <c r="F141"/>
  <c r="O132"/>
  <c r="Y235"/>
  <c r="F283"/>
  <c r="L701" i="6" l="1"/>
  <c r="L495"/>
  <c r="M225" i="7"/>
  <c r="L237" i="6"/>
  <c r="L128"/>
  <c r="E16" i="2"/>
  <c r="C41" i="6"/>
  <c r="H717" i="7"/>
  <c r="K42" i="6"/>
  <c r="G729"/>
  <c r="BR556" i="7"/>
  <c r="BU556"/>
  <c r="BV556" s="1"/>
  <c r="J556"/>
  <c r="BU568" i="6"/>
  <c r="BV568" s="1"/>
  <c r="I568"/>
  <c r="BR568"/>
  <c r="M483" i="7"/>
  <c r="Y22" i="1"/>
  <c r="Y447"/>
  <c r="F432"/>
  <c r="AR26"/>
  <c r="F63"/>
  <c r="F73" s="1"/>
  <c r="AR405"/>
  <c r="F402"/>
  <c r="F403" s="1"/>
  <c r="AW22"/>
  <c r="F411"/>
  <c r="AW447"/>
  <c r="AR235"/>
  <c r="F284"/>
  <c r="F294" s="1"/>
  <c r="P18"/>
  <c r="F450"/>
  <c r="AV22"/>
  <c r="AV447"/>
  <c r="F410"/>
  <c r="AS18"/>
  <c r="F464"/>
  <c r="V18"/>
  <c r="F470"/>
  <c r="S18"/>
  <c r="F462"/>
  <c r="AU22"/>
  <c r="F424"/>
  <c r="AU447"/>
  <c r="O22"/>
  <c r="F407"/>
  <c r="O447"/>
  <c r="O235"/>
  <c r="F258"/>
  <c r="X22"/>
  <c r="F431"/>
  <c r="X447"/>
  <c r="AT26"/>
  <c r="F53"/>
  <c r="AT405"/>
  <c r="R22"/>
  <c r="F419"/>
  <c r="R447"/>
  <c r="AT235"/>
  <c r="F274"/>
  <c r="E18" i="2"/>
  <c r="AY22" i="1"/>
  <c r="F413"/>
  <c r="AY447"/>
  <c r="AR132"/>
  <c r="F167"/>
  <c r="F177" s="1"/>
  <c r="AT132"/>
  <c r="F157"/>
  <c r="J16" i="2"/>
  <c r="J18" s="1"/>
  <c r="H16" l="1"/>
  <c r="H18" s="1"/>
  <c r="C44" i="6"/>
  <c r="R18" i="1"/>
  <c r="F461"/>
  <c r="X18"/>
  <c r="F473"/>
  <c r="AU18"/>
  <c r="F466"/>
  <c r="AV18"/>
  <c r="F452"/>
  <c r="F295"/>
  <c r="F296" s="1"/>
  <c r="AW18"/>
  <c r="F453"/>
  <c r="F74"/>
  <c r="F75" s="1"/>
  <c r="F178"/>
  <c r="F179" s="1"/>
  <c r="AY18"/>
  <c r="F455"/>
  <c r="AT22"/>
  <c r="F423"/>
  <c r="AT447"/>
  <c r="O18"/>
  <c r="F449"/>
  <c r="AR22"/>
  <c r="F433"/>
  <c r="F443" s="1"/>
  <c r="AR447"/>
  <c r="Y18"/>
  <c r="F474"/>
  <c r="F16" i="2" l="1"/>
  <c r="I16" s="1"/>
  <c r="I18" s="1"/>
  <c r="C42" i="6"/>
  <c r="C38" s="1"/>
  <c r="F18" i="2"/>
  <c r="F444" i="1"/>
  <c r="F445" s="1"/>
  <c r="AT18"/>
  <c r="F465"/>
  <c r="AR18"/>
  <c r="F475"/>
  <c r="F485" s="1"/>
  <c r="F486" l="1"/>
  <c r="F487" s="1"/>
</calcChain>
</file>

<file path=xl/sharedStrings.xml><?xml version="1.0" encoding="utf-8"?>
<sst xmlns="http://schemas.openxmlformats.org/spreadsheetml/2006/main" count="8305" uniqueCount="635">
  <si>
    <t>Smeta.RU  (495) 974-1589</t>
  </si>
  <si>
    <t>_PS_</t>
  </si>
  <si>
    <t>Smeta.RU</t>
  </si>
  <si>
    <t>МУП "Ульяновская городская электросеть"  Доп. раб. место  FStS-0041190</t>
  </si>
  <si>
    <t>Новый объект</t>
  </si>
  <si>
    <t>Монтаж АИИС КУЭ "Матрица" в ТП-1037 (цены поставщика)</t>
  </si>
  <si>
    <t/>
  </si>
  <si>
    <t>Сметные нормы списания</t>
  </si>
  <si>
    <t>Коды ценников</t>
  </si>
  <si>
    <t>ФГИС ЦС</t>
  </si>
  <si>
    <t>Версия 1.7.0 для ФСНБ-2022</t>
  </si>
  <si>
    <t>ФСНБ-2022 - Изменения И8</t>
  </si>
  <si>
    <t>Поправки для ФСНБ-2022 от 24.11.2023 г И8 Строительство</t>
  </si>
  <si>
    <t>ГСН</t>
  </si>
  <si>
    <t>Новая локальная смета</t>
  </si>
  <si>
    <t>Новый раздел</t>
  </si>
  <si>
    <t>Монтаж узла учета 0,23кВ</t>
  </si>
  <si>
    <t>1</t>
  </si>
  <si>
    <t>м08-03-600-01</t>
  </si>
  <si>
    <t>Счетчики, устанавливаемые на готовом основании: однофазные</t>
  </si>
  <si>
    <t>ШТ</t>
  </si>
  <si>
    <t>ГЭСНм-2022, м08-03-600-01, приказ Минстроя России от 18.05.2022 г. № 378/пр</t>
  </si>
  <si>
    <t>Монтажные работы</t>
  </si>
  <si>
    <t>Электротехнические установки: на других объектах</t>
  </si>
  <si>
    <t>мФЕР-08</t>
  </si>
  <si>
    <t>Пр/812-049.3-1</t>
  </si>
  <si>
    <t>Пр/774-049.3</t>
  </si>
  <si>
    <t>1,1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</si>
  <si>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</si>
  <si>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</si>
  <si>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</si>
  <si>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Строка по умолчанию</t>
  </si>
  <si>
    <t>Прочие работы</t>
  </si>
  <si>
    <t>по умолчанию</t>
  </si>
  <si>
    <t>2</t>
  </si>
  <si>
    <t>м08-01-087-03</t>
  </si>
  <si>
    <t>Металлические конструкции (прим. установка кронштейна на счетчик 0,15*187=28,1кг)</t>
  </si>
  <si>
    <t>т</t>
  </si>
  <si>
    <t>ГЭСНм-2022, м08-01-087-03, приказ Минстроя России от 18.05.2022 г. № 378/пр</t>
  </si>
  <si>
    <t>*0</t>
  </si>
  <si>
    <t>2,1</t>
  </si>
  <si>
    <t>3</t>
  </si>
  <si>
    <t>м08-02-144-03</t>
  </si>
  <si>
    <t>Присоединение к зажимам жил проводов или кабелей сечением: до 16 мм2</t>
  </si>
  <si>
    <t>100 ШТ</t>
  </si>
  <si>
    <t>ГЭСНм-2022, м08-02-144-03, приказ Минстроя России от 18.05.2022 г. № 378/пр</t>
  </si>
  <si>
    <t>3,1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</si>
  <si>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</si>
  <si>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</si>
  <si>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</si>
  <si>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</si>
  <si>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</si>
  <si>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</si>
  <si>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</si>
  <si>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</si>
  <si>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</si>
  <si>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</si>
  <si>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</si>
  <si>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</si>
  <si>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</si>
  <si>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</si>
  <si>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</si>
  <si>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</si>
  <si>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</si>
  <si>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</si>
  <si>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</si>
  <si>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</si>
  <si>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</si>
  <si>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</si>
  <si>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</si>
  <si>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</si>
  <si>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</si>
  <si>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</si>
  <si>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</si>
  <si>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</si>
  <si>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</si>
  <si>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</si>
  <si>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</si>
  <si>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</si>
  <si>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</si>
  <si>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</si>
  <si>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</si>
  <si>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</si>
  <si>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</si>
  <si>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</si>
  <si>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</si>
  <si>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</si>
  <si>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</si>
  <si>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</si>
  <si>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</si>
  <si>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</si>
  <si>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</si>
  <si>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</si>
  <si>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</si>
  <si>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</si>
  <si>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</si>
  <si>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</si>
  <si>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</si>
  <si>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</si>
  <si>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</si>
  <si>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</si>
  <si>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х1 %</t>
  </si>
  <si>
    <t>Временные здания и сооружения %</t>
  </si>
  <si>
    <t>х1 руб</t>
  </si>
  <si>
    <t>Временные здания и сооружения руб</t>
  </si>
  <si>
    <t>х1 итог</t>
  </si>
  <si>
    <t>Итого с временными зданиями и сооружениями</t>
  </si>
  <si>
    <t>х2 %</t>
  </si>
  <si>
    <t>Зимнее удорожание  %</t>
  </si>
  <si>
    <t>х2 руб</t>
  </si>
  <si>
    <t>Зимнее удорожание руб.</t>
  </si>
  <si>
    <t>х2 итог</t>
  </si>
  <si>
    <t>ИТОГ с зимним удорожанием</t>
  </si>
  <si>
    <t>х3 %</t>
  </si>
  <si>
    <t>Непредвиденные расходы  %</t>
  </si>
  <si>
    <t>х3 руб</t>
  </si>
  <si>
    <t>Непредвиденные расходы руб.</t>
  </si>
  <si>
    <t>х3 итог</t>
  </si>
  <si>
    <t>ИТОГ с непредвиденными расходами</t>
  </si>
  <si>
    <t>Итого с накрут</t>
  </si>
  <si>
    <t>Итого со всеми накрутками</t>
  </si>
  <si>
    <t>Л12</t>
  </si>
  <si>
    <t>НДС 20%</t>
  </si>
  <si>
    <t>Л13</t>
  </si>
  <si>
    <t>ИТОГО с НДС</t>
  </si>
  <si>
    <t>Материалы, не учтенные ценником</t>
  </si>
  <si>
    <t>4</t>
  </si>
  <si>
    <t>цена поставщика</t>
  </si>
  <si>
    <t>Счетчик электрический</t>
  </si>
  <si>
    <t>Материалы строительные</t>
  </si>
  <si>
    <t>Материалы, изделия и конструкции</t>
  </si>
  <si>
    <t>материалы (03)</t>
  </si>
  <si>
    <t>занесена вручную</t>
  </si>
  <si>
    <t>5</t>
  </si>
  <si>
    <t>Провода самонесущие изолированные для воздушных линий электропередачи с алюминиевыми жилами марки:СИП-4 2х16-0,6/1,0</t>
  </si>
  <si>
    <t>м</t>
  </si>
  <si>
    <t>6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</si>
  <si>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</si>
  <si>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7</t>
  </si>
  <si>
    <t>Скрепа размером 20 мм NC20 (СИП)</t>
  </si>
  <si>
    <t>8</t>
  </si>
  <si>
    <t>Зажим ответвительный с прокалыванием изоляции (СИП):P 645</t>
  </si>
  <si>
    <t>9</t>
  </si>
  <si>
    <t>Кронштейн для счетчика электрической энергии типа AD11S</t>
  </si>
  <si>
    <t>Монтаж узла учета 0,4кВ</t>
  </si>
  <si>
    <t>10</t>
  </si>
  <si>
    <t>м08-03-600-02</t>
  </si>
  <si>
    <t>Счетчики, устанавливаемые на готовом основании: трехфазные</t>
  </si>
  <si>
    <t>ГЭСНм-2022, м08-03-600-02, приказ Минстроя России от 18.05.2022 г. № 378/пр</t>
  </si>
  <si>
    <t>10,1</t>
  </si>
  <si>
    <t>11</t>
  </si>
  <si>
    <t>11,1</t>
  </si>
  <si>
    <t>12</t>
  </si>
  <si>
    <t>Трехфазный счетчик прямого включения:AD13S.1-BL-Z-R-TX (1-1-1)етчик электрический (в комплекте)</t>
  </si>
  <si>
    <t>13</t>
  </si>
  <si>
    <t>14</t>
  </si>
  <si>
    <t>15</t>
  </si>
  <si>
    <t>16</t>
  </si>
  <si>
    <t>Узел учета в КТП</t>
  </si>
  <si>
    <t>17</t>
  </si>
  <si>
    <t>м08-03-572-04</t>
  </si>
  <si>
    <t>Блок управления шкафного исполнения или распределительный пункт (шкаф), устанавливаемый: на стене, высота и ширина до 1200х1000 мм</t>
  </si>
  <si>
    <t>ГЭСНм-2022, м08-03-572-04, приказ Минстроя России от 18.05.2022 г. № 378/пр</t>
  </si>
  <si>
    <t>17,1</t>
  </si>
  <si>
    <t>18</t>
  </si>
  <si>
    <t>м10-06-068-15</t>
  </si>
  <si>
    <t>Настройка простых сетевых трактов: конфигурация и настройка сетевых компонентов (мост, маршрутизатор, модем и т.п.)</t>
  </si>
  <si>
    <t>ГЭСНм-2022, м10-06-068-15, приказ Минстроя России от 18.05.2022 г. № 378/пр</t>
  </si>
  <si>
    <t>Оборудование связи: прокладка и монтаж сетей связи (если ОПТ=1 прокладка и монтаж междугородных линий связи)</t>
  </si>
  <si>
    <t>мФЕР-10</t>
  </si>
  <si>
    <t>Пр/812-051.1-1</t>
  </si>
  <si>
    <t>Пр/774-051.1</t>
  </si>
  <si>
    <t>Оборудование связи: прокладка и монтаж сетей связи</t>
  </si>
  <si>
    <t>18,1</t>
  </si>
  <si>
    <t>19</t>
  </si>
  <si>
    <t>19,1</t>
  </si>
  <si>
    <t>20</t>
  </si>
  <si>
    <t>м08-01-053-01</t>
  </si>
  <si>
    <t>Трансформатор тока напряжением: до 10 кВ</t>
  </si>
  <si>
    <t>ГЭСНм-2022, м08-01-053-01, приказ Минстроя России от 18.05.2022 г. № 378/пр</t>
  </si>
  <si>
    <t>20,1</t>
  </si>
  <si>
    <t>21</t>
  </si>
  <si>
    <t>м08-03-545-08</t>
  </si>
  <si>
    <t>Коробка с зажимами, устанавливаемая на конструкции на стене или колонне, для кабелей или проводов сечением: до 16 мм2, с количеством зажимов до 6</t>
  </si>
  <si>
    <t>ГЭСНм-2022, м08-03-545-08, приказ Минстроя России от 18.05.2022 г. № 378/пр</t>
  </si>
  <si>
    <t>21,1</t>
  </si>
  <si>
    <t>22</t>
  </si>
  <si>
    <t>м08-03-526-01</t>
  </si>
  <si>
    <t>Автомат одно-, двух-, трехполюсный, устанавливаемый на конструкции: на стене или колонне, на ток до 25 А</t>
  </si>
  <si>
    <t>ГЭСНм-2022, м08-03-526-01, приказ Минстроя России от 18.05.2022 г. № 378/пр</t>
  </si>
  <si>
    <t>22,1</t>
  </si>
  <si>
    <t>23</t>
  </si>
  <si>
    <t>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</si>
  <si>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</si>
  <si>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100 м</t>
  </si>
  <si>
    <t>ГЭСНм-2022, м08-02-409-09, приказ Минстроя России от 18.05.2022 г. № 378/пр</t>
  </si>
  <si>
    <t>23,1</t>
  </si>
  <si>
    <t>24</t>
  </si>
  <si>
    <t>м08-02-148-01</t>
  </si>
  <si>
    <t>Кабель до 35 кВ в проложенных трубах, блоках и коробах, масса 1 м кабеля: до 1 кг</t>
  </si>
  <si>
    <t>ГЭСНм-2022, м08-02-148-01, приказ Минстроя России от 18.05.2022 г. № 378/пр</t>
  </si>
  <si>
    <t>24,1</t>
  </si>
  <si>
    <t>25</t>
  </si>
  <si>
    <t>м08-02-472-02</t>
  </si>
  <si>
    <t>Заземлитель горизонтальный из стали: полосовой сечением 160 мм2</t>
  </si>
  <si>
    <t>ГЭСНм-2022 доп.8, м08-02-472-02, приказ Минстроя России от 14.11.2023 г. № 817/пр</t>
  </si>
  <si>
    <t>25,1</t>
  </si>
  <si>
    <t>26</t>
  </si>
  <si>
    <t>Шкаф для АСТУЭ с монтажной панелью</t>
  </si>
  <si>
    <t>27</t>
  </si>
  <si>
    <t>УСПД(Маршрутизатор)- RTR8A.LGE-1-2-RUF(DC2S.7-1) (PLC (OFDM) +RF(Комбинированный), Ethernet, GPRS,USB,RS-485.</t>
  </si>
  <si>
    <t>28</t>
  </si>
  <si>
    <t>Счетчик трехфазный трансформаторного включения-AD13A.3(I)-BLRs-Z-2r-W (3-6-1)</t>
  </si>
  <si>
    <t>29</t>
  </si>
  <si>
    <t>Трансформатор тока:Т-0,66</t>
  </si>
  <si>
    <t>30</t>
  </si>
  <si>
    <t>Коробка клеммная испытательная ИКК</t>
  </si>
  <si>
    <t>31</t>
  </si>
  <si>
    <t>Выключатели автоматические:«IEK» ВА47-29 3Р 10А, характеристика С (прим.)</t>
  </si>
  <si>
    <t>32</t>
  </si>
  <si>
    <t>Гофротруба</t>
  </si>
  <si>
    <t>33</t>
  </si>
  <si>
    <t>Кабель КВВГ 10*1,5 мм2</t>
  </si>
  <si>
    <t>34</t>
  </si>
  <si>
    <t>Кабель ВВГнг 4*1,5 мм2</t>
  </si>
  <si>
    <t>Пуско-наладочные работы</t>
  </si>
  <si>
    <t>35</t>
  </si>
  <si>
    <t>п01-03-004-01</t>
  </si>
  <si>
    <t>Выключатель автоматический постоянного тока быстродействующий напряжением свыше 1 кВ, номинальный ток: до 1000 А</t>
  </si>
  <si>
    <t>ГЭСНп-2022, п01-03-004-01, приказ Минстроя России от 18.05.2022 г. № 378/пр</t>
  </si>
  <si>
    <t>Пусконаладочные работы</t>
  </si>
  <si>
    <t>Пусконаладочные работы Электротехнические устройства</t>
  </si>
  <si>
    <t>ФЕРп</t>
  </si>
  <si>
    <t>Пр/812-083.0-1</t>
  </si>
  <si>
    <t>Пр/774-083.0</t>
  </si>
  <si>
    <t>36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</si>
  <si>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</si>
  <si>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</si>
  <si>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</si>
  <si>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37</t>
  </si>
  <si>
    <t>п01-11-024-01</t>
  </si>
  <si>
    <t>Фазировка электрической линии или трансформатора с сетью напряжением: до 1 кВ</t>
  </si>
  <si>
    <t>ГЭСНп-2022, п01-11-024-01, приказ Минстроя России от 18.05.2022 г. № 378/пр</t>
  </si>
  <si>
    <t>38</t>
  </si>
  <si>
    <t>п01-11-023-01</t>
  </si>
  <si>
    <t>Снятие характеристик коммутационных аппаратов: временных</t>
  </si>
  <si>
    <t>ГЭСНп-2022, п01-11-023-01, приказ Минстроя России от 18.05.2022 г. № 378/пр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</si>
  <si>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</si>
  <si>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</si>
  <si>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</si>
  <si>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</si>
  <si>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</si>
  <si>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</si>
  <si>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</si>
  <si>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</si>
  <si>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</si>
  <si>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</si>
  <si>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</si>
  <si>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</si>
  <si>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</si>
  <si>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</si>
  <si>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</si>
  <si>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</si>
  <si>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</si>
  <si>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</si>
  <si>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</si>
  <si>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</si>
  <si>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</si>
  <si>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</si>
  <si>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</si>
  <si>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</si>
  <si>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</si>
  <si>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</si>
  <si>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</si>
  <si>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</si>
  <si>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</si>
  <si>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</si>
  <si>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</si>
  <si>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</si>
  <si>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</si>
  <si>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</si>
  <si>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</si>
  <si>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</si>
  <si>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</si>
  <si>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</si>
  <si>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</si>
  <si>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</si>
  <si>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</si>
  <si>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</si>
  <si>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</si>
  <si>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</si>
  <si>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</si>
  <si>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</si>
  <si>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</si>
  <si>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</si>
  <si>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</si>
  <si>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</si>
  <si>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</si>
  <si>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</si>
  <si>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</si>
  <si>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</si>
  <si>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</si>
  <si>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</si>
  <si>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</si>
  <si>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</si>
  <si>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</si>
  <si>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</si>
  <si>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</si>
  <si>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</si>
  <si>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</si>
  <si>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</si>
  <si>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</si>
  <si>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</si>
  <si>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</si>
  <si>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</si>
  <si>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+Ульяновская область, КТЦ к ФСНБ-2022, 4 квартал 2023 г</t>
  </si>
  <si>
    <t>Сборник индексов</t>
  </si>
  <si>
    <t>Ульяновск</t>
  </si>
  <si>
    <t>_OBSM_</t>
  </si>
  <si>
    <t>1-100-42</t>
  </si>
  <si>
    <t>Затраты труда рабочих (Средний разряд - 4,2)</t>
  </si>
  <si>
    <t>чел.-ч.</t>
  </si>
  <si>
    <t>4-100-00</t>
  </si>
  <si>
    <t>Затраты труда машинистов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</si>
  <si>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</si>
  <si>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</si>
  <si>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</si>
  <si>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маш.-ч</t>
  </si>
  <si>
    <t>4-100-060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</si>
  <si>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</si>
  <si>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</si>
  <si>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</si>
  <si>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</si>
  <si>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01.7.15.04-0011</t>
  </si>
  <si>
    <t>ФСБЦ-2022, 01.7.15.04-0011, приказ Минстроя России от 18.05.2022 г. № 378/пр</t>
  </si>
  <si>
    <t>Винты стальные с полукруглой головкой, длина 50 мм</t>
  </si>
  <si>
    <t>1-100-40</t>
  </si>
  <si>
    <t>Затраты труда рабочих (Средний разряд - 4)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</si>
  <si>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</si>
  <si>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</si>
  <si>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</si>
  <si>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</si>
  <si>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</si>
  <si>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</si>
  <si>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кг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</si>
  <si>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</si>
  <si>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</si>
  <si>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</si>
  <si>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01.7.15.07-0031</t>
  </si>
  <si>
    <t>ФСБЦ-2022, 01.7.15.07-0031, приказ Минстроя России от 18.05.2022 г. № 378/пр</t>
  </si>
  <si>
    <t>Дюбели стальные распорные с гайкой</t>
  </si>
  <si>
    <t>02.3.01.02-1118</t>
  </si>
  <si>
    <t>ФСБЦ-2022, 02.3.01.02-1118, приказ Минстроя России от 18.05.2022 г. № 378/пр</t>
  </si>
  <si>
    <t>Песок природный для строительных работ II класс, средний</t>
  </si>
  <si>
    <t>м3</t>
  </si>
  <si>
    <t>03.2.01.01-0003</t>
  </si>
  <si>
    <t>ФСБЦ-2022, 03.2.01.01-0003, приказ Минстроя России от 18.05.2022 г. № 378/пр</t>
  </si>
  <si>
    <t>Портландцемент общестроительного назначения бездобавочный М500 Д0 (ЦЕМ I 42,5Н)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</si>
  <si>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</si>
  <si>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</si>
  <si>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</si>
  <si>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1-100-38</t>
  </si>
  <si>
    <t>Затраты труда рабочих (Средний разряд - 3,8)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</si>
  <si>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</si>
  <si>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</si>
  <si>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</si>
  <si>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3-200-01</t>
  </si>
  <si>
    <t>Инженер I категории</t>
  </si>
  <si>
    <t>чел.-ч</t>
  </si>
  <si>
    <t>3-200-02</t>
  </si>
  <si>
    <t>Инженер II категории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</si>
  <si>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</si>
  <si>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</si>
  <si>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</si>
  <si>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</si>
  <si>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20.1.02.23-0082</t>
  </si>
  <si>
    <t>ФСБЦ-2022, 20.1.02.23-0082, приказ Минстроя России от 18.05.2022 г. № 378/пр</t>
  </si>
  <si>
    <t>Перемычки гибкие, тип ПГС-50</t>
  </si>
  <si>
    <t>10 ШТ</t>
  </si>
  <si>
    <t>91.21.16-012</t>
  </si>
  <si>
    <t>ФСЭМ-2022, 91.21.16-012, приказ Минстроя России от 18.05.2022 г. № 378/пр</t>
  </si>
  <si>
    <t>Прессы гидравлические с электроприводом</t>
  </si>
  <si>
    <t>01.3.01.02-0002</t>
  </si>
  <si>
    <t>ФСБЦ-2022 доп.8, 01.3.01.02-0002, приказ Минстроя России от 14.11.2023 г. № 817/пр</t>
  </si>
  <si>
    <t>Вазелин технический</t>
  </si>
  <si>
    <t>01.7.02.09-0002</t>
  </si>
  <si>
    <t>ФСБЦ-2022, 01.7.02.09-0002, приказ Минстроя России от 18.05.2022 г. № 378/пр</t>
  </si>
  <si>
    <t>Шпагат бумажный, диаметр 2,5 мм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</si>
  <si>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</si>
  <si>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</si>
  <si>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</si>
  <si>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</si>
  <si>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01.7.06.05-0041</t>
  </si>
  <si>
    <t>ФСБЦ-2022, 01.7.06.05-0041, приказ Минстроя России от 18.05.2022 г. № 378/пр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</si>
  <si>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</si>
  <si>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01.7.15.07-0014</t>
  </si>
  <si>
    <t>ФСБЦ-2022, 01.7.15.07-0014, приказ Минстроя России от 18.05.2022 г. № 378/пр</t>
  </si>
  <si>
    <t>Дюбели распорные полипропиленовые</t>
  </si>
  <si>
    <t>01.7.20.04-0005</t>
  </si>
  <si>
    <t>ФСБЦ-2022, 01.7.20.04-0005, приказ Минстроя России от 18.05.2022 г. № 378/пр</t>
  </si>
  <si>
    <t>Нитки швейные армированные</t>
  </si>
  <si>
    <t>14.4.03.06-0001</t>
  </si>
  <si>
    <t>ФСБЦ-2022, 14.4.03.06-0001, приказ Минстроя России от 18.05.2022 г. № 378/пр</t>
  </si>
  <si>
    <t>Лак электроизоляционный МЛ-92</t>
  </si>
  <si>
    <t>1-100-39</t>
  </si>
  <si>
    <t>Затраты труда рабочих (Средний разряд - 3,9)</t>
  </si>
  <si>
    <t>1-100-36</t>
  </si>
  <si>
    <t>Затраты труда рабочих (Средний разряд - 3,6)</t>
  </si>
  <si>
    <t>01.7.15.07-0152</t>
  </si>
  <si>
    <t>ФСБЦ-2022, 01.7.15.07-0152, приказ Минстроя России от 18.05.2022 г. № 378/пр</t>
  </si>
  <si>
    <t>Дюбели пластмассовые с шурупами, диаметр 6 мм, длина 35 мм, диаметр шурупа 3,5 мм, длина шурупа 50 мм</t>
  </si>
  <si>
    <t>91.06.01-003</t>
  </si>
  <si>
    <t>ФСЭМ-2022, 91.06.01-003, приказ Минстроя России от 18.05.2022 г. № 378/пр</t>
  </si>
  <si>
    <t>Домкраты гидравлические, грузоподъемность 63-100 т</t>
  </si>
  <si>
    <t>91.06.03-061</t>
  </si>
  <si>
    <t>ФСЭМ-2022, 91.06.03-061, приказ Минстроя России от 18.05.2022 г. № 378/пр</t>
  </si>
  <si>
    <t>Лебедки электрические тяговым усилием до 12,26 кН (1,25 т)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</si>
  <si>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</si>
  <si>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</si>
  <si>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</si>
  <si>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</si>
  <si>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10.3.02.03-0011</t>
  </si>
  <si>
    <t>ФСБЦ-2022, 10.3.02.03-0011, приказ Минстроя России от 18.05.2022 г. № 378/пр</t>
  </si>
  <si>
    <t>Припои оловянно-свинцовые бессурьмянистые, марка ПОС30</t>
  </si>
  <si>
    <t>14.4.03.03-0002</t>
  </si>
  <si>
    <t>ФСБЦ-2022 доп.4, 14.4.03.03-0002, приказ Минстроя России от 27.12.2022 г. № 1133/пр</t>
  </si>
  <si>
    <t>Лак битумный БТ-123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</si>
  <si>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</si>
  <si>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</si>
  <si>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</si>
  <si>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2-100-04</t>
  </si>
  <si>
    <t>Рабочий 4 разряда</t>
  </si>
  <si>
    <t>3-100-02</t>
  </si>
  <si>
    <t>Техник II категории</t>
  </si>
  <si>
    <t>2-100-06</t>
  </si>
  <si>
    <t>Рабочий 6 разряда</t>
  </si>
  <si>
    <t>3-200-03</t>
  </si>
  <si>
    <t>Инженер III категории</t>
  </si>
  <si>
    <t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</si>
  <si>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</si>
  <si>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</si>
  <si>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</si>
  <si>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</si>
  <si>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</si>
  <si>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</si>
  <si>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</si>
  <si>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</si>
  <si>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стройки)</t>
  </si>
  <si>
    <t>(наименование объекта капитального строительства)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</si>
  <si>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</si>
  <si>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</si>
  <si>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</si>
  <si>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</si>
  <si>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</si>
  <si>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</si>
  <si>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</si>
  <si>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</si>
  <si>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</si>
  <si>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</si>
  <si>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</si>
  <si>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</si>
  <si>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</si>
  <si>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</si>
  <si>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</si>
  <si>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</si>
  <si>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</si>
  <si>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</si>
  <si>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</si>
  <si>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</si>
  <si>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</si>
  <si>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</si>
  <si>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</si>
  <si>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</si>
  <si>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</si>
  <si>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</si>
  <si>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</si>
  <si>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</si>
  <si>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</si>
  <si>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</si>
  <si>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Ресурсно-индексным</t>
  </si>
  <si>
    <t>Составлен(а) в текущем уровне цен на IV квартал 2023 года</t>
  </si>
  <si>
    <t>Раздел: Монтаж узла учета 0,23кВ</t>
  </si>
  <si>
    <t>ГЭСНм 08-03-600-01</t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</si>
  <si>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</si>
  <si>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</si>
  <si>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</si>
  <si>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</si>
  <si>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</si>
  <si>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</si>
  <si>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</si>
  <si>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1.1</t>
  </si>
  <si>
    <t>ФОТ</t>
  </si>
  <si>
    <t>НР Электротехнические установки: на других объектах</t>
  </si>
  <si>
    <t>СП Электротехнические установки: на других объектах</t>
  </si>
  <si>
    <t>Всего по позиции</t>
  </si>
  <si>
    <t>=</t>
  </si>
  <si>
    <t>ГЭСНм 08-01-087-03</t>
  </si>
  <si>
    <r>
      <t>Металлические конструкции (прим. установка кронштейна на счетчик 0,15*187=28,1кг)</t>
    </r>
    <r>
      <rPr>
        <i/>
        <sz val="10"/>
        <rFont val="Arial"/>
        <family val="2"/>
        <charset val="204"/>
      </rPr>
      <t xml:space="preserve">
Поправки к: 
М *0</t>
    </r>
  </si>
  <si>
    <t>2.1</t>
  </si>
  <si>
    <t>ГЭСНм 08-02-144-03</t>
  </si>
  <si>
    <t>3.1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</si>
  <si>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</si>
  <si>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</si>
  <si>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</si>
  <si>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</si>
  <si>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</si>
  <si>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</si>
  <si>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</si>
  <si>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</si>
  <si>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</si>
  <si>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</si>
  <si>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</si>
  <si>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</si>
  <si>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</si>
  <si>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</si>
  <si>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</si>
  <si>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</si>
  <si>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</si>
  <si>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</si>
  <si>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</si>
  <si>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</si>
  <si>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</si>
  <si>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</si>
  <si>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</si>
  <si>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</si>
  <si>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</si>
  <si>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</si>
  <si>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Материалы, не учтенные ценником</t>
  </si>
  <si>
    <t>Раздел: Монтаж узла учета 0,4кВ</t>
  </si>
  <si>
    <t>ГЭСНм 08-03-600-02</t>
  </si>
  <si>
    <t>10.1</t>
  </si>
  <si>
    <t>11.1</t>
  </si>
  <si>
    <t>Раздел: Узел учета в КТП</t>
  </si>
  <si>
    <t>ГЭСНм 08-03-572-04</t>
  </si>
  <si>
    <t>17.1</t>
  </si>
  <si>
    <t>ГЭСНм 10-06-068-15</t>
  </si>
  <si>
    <t>18.1</t>
  </si>
  <si>
    <t>НР Оборудование связи: прокладка и монтаж сетей связи</t>
  </si>
  <si>
    <t>СП Оборудование связи: прокладка и монтаж сетей связи</t>
  </si>
  <si>
    <t>19.1</t>
  </si>
  <si>
    <t>ГЭСНм 08-01-053-01</t>
  </si>
  <si>
    <t>ОТм(ЗТм) Средний разряд машинистов 3</t>
  </si>
  <si>
    <t>20.1</t>
  </si>
  <si>
    <t>ГЭСНм 08-03-545-08</t>
  </si>
  <si>
    <t>21.1</t>
  </si>
  <si>
    <t>ГЭСНм 08-03-526-01</t>
  </si>
  <si>
    <t>22.1</t>
  </si>
  <si>
    <t>ГЭСНм 08-02-409-09</t>
  </si>
  <si>
    <t>23.1</t>
  </si>
  <si>
    <t>ГЭСНм 08-02-148-01</t>
  </si>
  <si>
    <t>24.1</t>
  </si>
  <si>
    <t>ГЭСНм 08-02-472-02</t>
  </si>
  <si>
    <t>25.1</t>
  </si>
  <si>
    <t>Раздел: Пуско-наладочные работы</t>
  </si>
  <si>
    <t>ГЭСНп 01-03-004-01</t>
  </si>
  <si>
    <t>НР Пусконаладочные работы</t>
  </si>
  <si>
    <t>СП Пусконаладочные работы</t>
  </si>
  <si>
    <t>ГЭСНп 01-11-013-01</t>
  </si>
  <si>
    <t>ГЭСНп 01-11-024-01</t>
  </si>
  <si>
    <t>ГЭСНп 01-11-023-01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</si>
  <si>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</si>
  <si>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</si>
  <si>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</si>
  <si>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</si>
  <si>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</si>
  <si>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</si>
  <si>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</si>
  <si>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</si>
  <si>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</si>
  <si>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</si>
  <si>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</si>
  <si>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</si>
  <si>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</si>
  <si>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</si>
  <si>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</si>
  <si>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</si>
  <si>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</si>
  <si>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</si>
  <si>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</si>
  <si>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</si>
  <si>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</si>
  <si>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</si>
  <si>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</si>
  <si>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</si>
  <si>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</si>
  <si>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</si>
  <si>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</si>
  <si>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</si>
  <si>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</si>
  <si>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</si>
  <si>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</si>
  <si>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</si>
  <si>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>Вид деятельности по ОКДП</t>
  </si>
  <si>
    <t>Договор подряда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</si>
  <si>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</si>
  <si>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</si>
  <si>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</si>
  <si>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</si>
  <si>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</si>
  <si>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</si>
  <si>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</si>
  <si>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</si>
  <si>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</si>
  <si>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</si>
  <si>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поз. по сме-те</t>
  </si>
  <si>
    <t>Локальная смета: Новая локальная смета</t>
  </si>
  <si>
    <t>ИТОГИ ПО АКТУ</t>
  </si>
  <si>
    <t>ВСЕГО по акту</t>
  </si>
  <si>
    <t xml:space="preserve">Сдал   </t>
  </si>
  <si>
    <t xml:space="preserve">Принял   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</si>
  <si>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</si>
  <si>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</si>
  <si>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</si>
  <si>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</si>
  <si>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</si>
  <si>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</si>
  <si>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</si>
  <si>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</si>
  <si>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</si>
  <si>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</si>
  <si>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</si>
  <si>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</si>
  <si>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</si>
  <si>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</si>
  <si>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</si>
  <si>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</si>
  <si>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</si>
  <si>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>Итого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</si>
  <si>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</si>
  <si>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</si>
  <si>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</si>
  <si>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</si>
  <si>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</si>
  <si>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</si>
  <si>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>Монтаж АИИС КУЭ "Матрица" в ТП-1037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</si>
</sst>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0#####;[Red]\-\ #,##0.00#####"/>
    <numFmt numFmtId="166" formatCode="#,##0.00;[Red]\-\ #,##0.00"/>
  </numFmts>
  <fonts count="28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NumberFormat="1" applyFont="1" applyAlignment="1"/>
    <xf numFmtId="0" fontId="11" fillId="0" borderId="0" xfId="0" applyNumberFormat="1" applyFont="1" applyAlignment="1">
      <alignment vertical="top" wrapText="1"/>
    </xf>
    <xf numFmtId="0" fontId="11" fillId="0" borderId="2" xfId="0" applyNumberFormat="1" applyFont="1" applyBorder="1" applyAlignment="1">
      <alignment vertical="top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0" fontId="12" fillId="0" borderId="0" xfId="0" applyNumberFormat="1" applyFont="1" applyAlignment="1"/>
    <xf numFmtId="0" fontId="12" fillId="0" borderId="2" xfId="0" applyNumberFormat="1" applyFont="1" applyBorder="1" applyAlignment="1"/>
    <xf numFmtId="0" fontId="18" fillId="0" borderId="0" xfId="0" applyNumberFormat="1" applyFont="1" applyAlignment="1"/>
    <xf numFmtId="0" fontId="18" fillId="0" borderId="0" xfId="0" applyNumberFormat="1" applyFont="1" applyAlignment="1">
      <alignment wrapText="1"/>
    </xf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wrapText="1"/>
    </xf>
    <xf numFmtId="0" fontId="11" fillId="0" borderId="0" xfId="0" applyNumberFormat="1" applyFont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2" xfId="0" applyNumberFormat="1" applyFont="1" applyBorder="1" applyAlignment="1"/>
    <xf numFmtId="0" fontId="11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wrapText="1"/>
    </xf>
    <xf numFmtId="0" fontId="14" fillId="0" borderId="0" xfId="0" applyNumberFormat="1" applyFont="1" applyAlignment="1"/>
    <xf numFmtId="14" fontId="18" fillId="0" borderId="0" xfId="0" applyNumberFormat="1" applyFont="1" applyAlignment="1"/>
    <xf numFmtId="0" fontId="11" fillId="0" borderId="0" xfId="0" applyNumberFormat="1" applyFont="1" applyAlignment="1">
      <alignment horizontal="right"/>
    </xf>
    <xf numFmtId="0" fontId="16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0" fontId="18" fillId="0" borderId="1" xfId="0" applyNumberFormat="1" applyFont="1" applyBorder="1" applyAlignment="1"/>
    <xf numFmtId="0" fontId="11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/>
    </xf>
    <xf numFmtId="0" fontId="18" fillId="0" borderId="0" xfId="0" applyNumberFormat="1" applyFont="1" applyAlignment="1">
      <alignment horizontal="center"/>
    </xf>
    <xf numFmtId="0" fontId="18" fillId="0" borderId="7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left" vertical="top" wrapText="1"/>
    </xf>
    <xf numFmtId="0" fontId="22" fillId="0" borderId="0" xfId="0" applyFont="1"/>
    <xf numFmtId="0" fontId="22" fillId="0" borderId="0" xfId="0" quotePrefix="1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 vertical="top"/>
    </xf>
    <xf numFmtId="166" fontId="22" fillId="0" borderId="0" xfId="0" applyNumberFormat="1" applyFont="1" applyAlignment="1">
      <alignment horizontal="right" vertical="top"/>
    </xf>
    <xf numFmtId="166" fontId="24" fillId="0" borderId="0" xfId="0" applyNumberFormat="1" applyFont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right" vertical="top" wrapText="1"/>
    </xf>
    <xf numFmtId="165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left" vertical="top"/>
    </xf>
    <xf numFmtId="166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 wrapText="1"/>
    </xf>
    <xf numFmtId="166" fontId="0" fillId="0" borderId="0" xfId="0" applyNumberFormat="1"/>
    <xf numFmtId="166" fontId="22" fillId="0" borderId="0" xfId="0" applyNumberFormat="1" applyFont="1" applyAlignment="1">
      <alignment horizontal="right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22" fillId="0" borderId="1" xfId="0" quotePrefix="1" applyFont="1" applyBorder="1" applyAlignment="1">
      <alignment horizontal="left" vertical="top" wrapText="1"/>
    </xf>
    <xf numFmtId="0" fontId="24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166" fontId="24" fillId="0" borderId="2" xfId="0" applyNumberFormat="1" applyFont="1" applyBorder="1" applyAlignment="1">
      <alignment horizontal="right" vertical="top"/>
    </xf>
    <xf numFmtId="0" fontId="24" fillId="0" borderId="2" xfId="0" applyFont="1" applyBorder="1" applyAlignment="1">
      <alignment horizontal="right" vertical="top"/>
    </xf>
    <xf numFmtId="166" fontId="11" fillId="0" borderId="0" xfId="0" applyNumberFormat="1" applyFont="1" applyAlignment="1">
      <alignment horizontal="right"/>
    </xf>
    <xf numFmtId="166" fontId="18" fillId="0" borderId="0" xfId="0" applyNumberFormat="1" applyFont="1" applyAlignment="1"/>
    <xf numFmtId="166" fontId="12" fillId="0" borderId="0" xfId="0" applyNumberFormat="1" applyFont="1" applyAlignment="1"/>
    <xf numFmtId="165" fontId="12" fillId="0" borderId="0" xfId="0" applyNumberFormat="1" applyFont="1" applyAlignment="1"/>
    <xf numFmtId="0" fontId="18" fillId="0" borderId="1" xfId="0" applyNumberFormat="1" applyFont="1" applyBorder="1" applyAlignment="1">
      <alignment horizontal="left"/>
    </xf>
    <xf numFmtId="0" fontId="18" fillId="0" borderId="10" xfId="0" applyNumberFormat="1" applyFont="1" applyBorder="1" applyAlignment="1">
      <alignment horizontal="right" wrapText="1"/>
    </xf>
    <xf numFmtId="0" fontId="11" fillId="0" borderId="1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18" fillId="0" borderId="19" xfId="0" applyNumberFormat="1" applyFont="1" applyBorder="1" applyAlignment="1">
      <alignment horizontal="right" wrapText="1"/>
    </xf>
    <xf numFmtId="0" fontId="11" fillId="0" borderId="19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wrapText="1"/>
    </xf>
    <xf numFmtId="0" fontId="11" fillId="0" borderId="14" xfId="0" applyNumberFormat="1" applyFont="1" applyBorder="1" applyAlignment="1">
      <alignment wrapText="1"/>
    </xf>
    <xf numFmtId="0" fontId="18" fillId="0" borderId="7" xfId="0" applyNumberFormat="1" applyFont="1" applyBorder="1" applyAlignment="1">
      <alignment horizontal="center" wrapText="1"/>
    </xf>
    <xf numFmtId="0" fontId="18" fillId="0" borderId="9" xfId="0" applyNumberFormat="1" applyFont="1" applyBorder="1" applyAlignment="1">
      <alignment horizontal="right" wrapText="1"/>
    </xf>
    <xf numFmtId="0" fontId="11" fillId="0" borderId="1" xfId="0" applyNumberFormat="1" applyFont="1" applyBorder="1" applyAlignment="1">
      <alignment wrapText="1"/>
    </xf>
    <xf numFmtId="0" fontId="11" fillId="0" borderId="4" xfId="0" applyNumberFormat="1" applyFont="1" applyBorder="1" applyAlignment="1">
      <alignment wrapText="1"/>
    </xf>
    <xf numFmtId="0" fontId="11" fillId="0" borderId="7" xfId="0" applyNumberFormat="1" applyFont="1" applyBorder="1" applyAlignment="1">
      <alignment horizontal="center" vertical="center"/>
    </xf>
    <xf numFmtId="14" fontId="11" fillId="0" borderId="7" xfId="0" applyNumberFormat="1" applyFont="1" applyBorder="1" applyAlignment="1">
      <alignment horizontal="center" wrapText="1"/>
    </xf>
    <xf numFmtId="0" fontId="11" fillId="0" borderId="7" xfId="0" applyNumberFormat="1" applyFont="1" applyBorder="1" applyAlignment="1">
      <alignment horizontal="center" wrapText="1"/>
    </xf>
    <xf numFmtId="0" fontId="18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horizontal="left" wrapText="1"/>
    </xf>
    <xf numFmtId="0" fontId="18" fillId="0" borderId="1" xfId="0" applyNumberFormat="1" applyFont="1" applyBorder="1" applyAlignment="1">
      <alignment horizontal="left" wrapText="1"/>
    </xf>
    <xf numFmtId="0" fontId="18" fillId="0" borderId="1" xfId="0" applyNumberFormat="1" applyFont="1" applyBorder="1" applyAlignment="1">
      <alignment wrapText="1"/>
    </xf>
    <xf numFmtId="0" fontId="18" fillId="0" borderId="0" xfId="0" applyNumberFormat="1" applyFont="1" applyAlignment="1">
      <alignment horizontal="left" vertical="center"/>
    </xf>
    <xf numFmtId="0" fontId="22" fillId="0" borderId="3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1" xfId="0" applyFont="1" applyBorder="1"/>
    <xf numFmtId="14" fontId="22" fillId="0" borderId="0" xfId="0" applyNumberFormat="1" applyFont="1"/>
    <xf numFmtId="0" fontId="22" fillId="0" borderId="3" xfId="0" applyFont="1" applyBorder="1" applyAlignment="1">
      <alignment horizontal="center" vertical="center" wrapText="1" shrinkToFit="1"/>
    </xf>
    <xf numFmtId="0" fontId="22" fillId="0" borderId="3" xfId="0" applyFont="1" applyBorder="1" applyAlignment="1">
      <alignment horizontal="center" wrapText="1" shrinkToFit="1"/>
    </xf>
    <xf numFmtId="0" fontId="22" fillId="0" borderId="13" xfId="0" applyFont="1" applyBorder="1" applyAlignment="1">
      <alignment horizontal="center" vertical="center" wrapText="1" shrinkToFit="1"/>
    </xf>
    <xf numFmtId="0" fontId="11" fillId="0" borderId="0" xfId="0" applyNumberFormat="1" applyFont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horizontal="center" wrapText="1"/>
    </xf>
    <xf numFmtId="0" fontId="17" fillId="0" borderId="2" xfId="0" applyNumberFormat="1" applyFont="1" applyBorder="1" applyAlignment="1">
      <alignment horizontal="center" vertical="top" wrapText="1"/>
    </xf>
    <xf numFmtId="166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center" wrapText="1"/>
    </xf>
    <xf numFmtId="0" fontId="20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top" wrapText="1"/>
    </xf>
    <xf numFmtId="166" fontId="24" fillId="0" borderId="0" xfId="0" applyNumberFormat="1" applyFont="1" applyAlignment="1">
      <alignment horizontal="left" vertical="top"/>
    </xf>
    <xf numFmtId="166" fontId="24" fillId="0" borderId="2" xfId="0" applyNumberFormat="1" applyFont="1" applyBorder="1" applyAlignment="1">
      <alignment horizontal="right" vertical="top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2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vertical="top" wrapText="1"/>
    </xf>
    <xf numFmtId="0" fontId="11" fillId="0" borderId="0" xfId="0" applyNumberFormat="1" applyFont="1" applyAlignment="1">
      <alignment horizontal="right" vertical="center"/>
    </xf>
    <xf numFmtId="0" fontId="26" fillId="0" borderId="2" xfId="0" applyNumberFormat="1" applyFont="1" applyBorder="1" applyAlignment="1">
      <alignment horizontal="center"/>
    </xf>
    <xf numFmtId="0" fontId="18" fillId="0" borderId="0" xfId="0" applyNumberFormat="1" applyFont="1" applyAlignment="1">
      <alignment wrapText="1"/>
    </xf>
    <xf numFmtId="0" fontId="18" fillId="0" borderId="1" xfId="0" applyNumberFormat="1" applyFont="1" applyBorder="1" applyAlignment="1">
      <alignment horizontal="left" wrapText="1"/>
    </xf>
    <xf numFmtId="0" fontId="26" fillId="0" borderId="2" xfId="0" applyNumberFormat="1" applyFont="1" applyBorder="1" applyAlignment="1">
      <alignment horizontal="center" vertical="top" wrapText="1"/>
    </xf>
    <xf numFmtId="0" fontId="18" fillId="0" borderId="16" xfId="0" applyNumberFormat="1" applyFont="1" applyBorder="1" applyAlignment="1">
      <alignment horizontal="center" wrapText="1"/>
    </xf>
    <xf numFmtId="0" fontId="18" fillId="0" borderId="2" xfId="0" applyNumberFormat="1" applyFont="1" applyBorder="1" applyAlignment="1">
      <alignment horizontal="center" wrapText="1"/>
    </xf>
    <xf numFmtId="0" fontId="18" fillId="0" borderId="9" xfId="0" applyNumberFormat="1" applyFont="1" applyBorder="1" applyAlignment="1">
      <alignment horizontal="center" wrapText="1"/>
    </xf>
    <xf numFmtId="0" fontId="18" fillId="0" borderId="18" xfId="0" applyNumberFormat="1" applyFont="1" applyBorder="1" applyAlignment="1">
      <alignment horizontal="center" wrapText="1"/>
    </xf>
    <xf numFmtId="0" fontId="18" fillId="0" borderId="1" xfId="0" applyNumberFormat="1" applyFont="1" applyBorder="1" applyAlignment="1">
      <alignment horizontal="center" wrapText="1"/>
    </xf>
    <xf numFmtId="0" fontId="18" fillId="0" borderId="12" xfId="0" applyNumberFormat="1" applyFont="1" applyBorder="1" applyAlignment="1">
      <alignment horizontal="center" wrapText="1"/>
    </xf>
    <xf numFmtId="0" fontId="11" fillId="0" borderId="0" xfId="0" applyNumberFormat="1" applyFont="1" applyAlignment="1">
      <alignment horizontal="right" vertical="center" wrapText="1"/>
    </xf>
    <xf numFmtId="0" fontId="18" fillId="0" borderId="13" xfId="0" applyNumberFormat="1" applyFont="1" applyBorder="1" applyAlignment="1">
      <alignment horizontal="center" wrapText="1"/>
    </xf>
    <xf numFmtId="0" fontId="18" fillId="0" borderId="14" xfId="0" applyNumberFormat="1" applyFont="1" applyBorder="1" applyAlignment="1">
      <alignment horizontal="center" wrapText="1"/>
    </xf>
    <xf numFmtId="0" fontId="18" fillId="0" borderId="15" xfId="0" applyNumberFormat="1" applyFont="1" applyBorder="1" applyAlignment="1">
      <alignment horizontal="center" wrapText="1"/>
    </xf>
    <xf numFmtId="0" fontId="18" fillId="0" borderId="1" xfId="0" applyNumberFormat="1" applyFont="1" applyBorder="1" applyAlignment="1">
      <alignment horizontal="right" wrapText="1"/>
    </xf>
    <xf numFmtId="0" fontId="18" fillId="0" borderId="12" xfId="0" applyNumberFormat="1" applyFont="1" applyBorder="1" applyAlignment="1">
      <alignment horizontal="right" wrapText="1"/>
    </xf>
    <xf numFmtId="0" fontId="18" fillId="0" borderId="2" xfId="0" applyNumberFormat="1" applyFont="1" applyBorder="1" applyAlignment="1">
      <alignment horizontal="right" wrapText="1"/>
    </xf>
    <xf numFmtId="0" fontId="18" fillId="0" borderId="9" xfId="0" applyNumberFormat="1" applyFont="1" applyBorder="1" applyAlignment="1">
      <alignment horizontal="right" wrapText="1"/>
    </xf>
    <xf numFmtId="14" fontId="18" fillId="0" borderId="13" xfId="0" applyNumberFormat="1" applyFont="1" applyBorder="1" applyAlignment="1">
      <alignment horizontal="center" wrapText="1"/>
    </xf>
    <xf numFmtId="14" fontId="18" fillId="0" borderId="14" xfId="0" applyNumberFormat="1" applyFont="1" applyBorder="1" applyAlignment="1">
      <alignment horizontal="center" wrapText="1"/>
    </xf>
    <xf numFmtId="14" fontId="18" fillId="0" borderId="15" xfId="0" applyNumberFormat="1" applyFont="1" applyBorder="1" applyAlignment="1">
      <alignment horizont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wrapText="1"/>
    </xf>
    <xf numFmtId="0" fontId="18" fillId="0" borderId="1" xfId="0" applyNumberFormat="1" applyFont="1" applyBorder="1" applyAlignment="1">
      <alignment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21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/>
    </xf>
    <xf numFmtId="0" fontId="22" fillId="0" borderId="3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22" fillId="0" borderId="1" xfId="0" applyFont="1" applyBorder="1"/>
    <xf numFmtId="0" fontId="22" fillId="0" borderId="4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2" fillId="0" borderId="10" xfId="0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7" fillId="0" borderId="0" xfId="0" applyFont="1" applyAlignment="1">
      <alignment horizontal="center"/>
    </xf>
    <xf numFmtId="0" fontId="22" fillId="0" borderId="13" xfId="0" applyFont="1" applyBorder="1" applyAlignment="1">
      <alignment horizontal="right"/>
    </xf>
    <xf numFmtId="0" fontId="22" fillId="0" borderId="14" xfId="0" applyFont="1" applyBorder="1" applyAlignment="1">
      <alignment horizontal="right"/>
    </xf>
    <xf numFmtId="14" fontId="22" fillId="0" borderId="3" xfId="0" applyNumberFormat="1" applyFont="1" applyBorder="1" applyAlignment="1">
      <alignment horizontal="center"/>
    </xf>
    <xf numFmtId="14" fontId="22" fillId="0" borderId="9" xfId="0" applyNumberFormat="1" applyFont="1" applyBorder="1" applyAlignment="1">
      <alignment horizontal="center"/>
    </xf>
    <xf numFmtId="0" fontId="22" fillId="0" borderId="13" xfId="0" applyFont="1" applyBorder="1"/>
    <xf numFmtId="0" fontId="22" fillId="0" borderId="15" xfId="0" applyFont="1" applyBorder="1"/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14" fontId="22" fillId="0" borderId="13" xfId="0" applyNumberFormat="1" applyFont="1" applyBorder="1" applyAlignment="1">
      <alignment horizontal="center"/>
    </xf>
    <xf numFmtId="14" fontId="22" fillId="0" borderId="15" xfId="0" applyNumberFormat="1" applyFont="1" applyBorder="1" applyAlignment="1">
      <alignment horizontal="center"/>
    </xf>
    <xf numFmtId="14" fontId="22" fillId="0" borderId="14" xfId="0" applyNumberFormat="1" applyFont="1" applyBorder="1" applyAlignment="1">
      <alignment horizontal="center"/>
    </xf>
    <xf numFmtId="0" fontId="22" fillId="0" borderId="3" xfId="0" applyFont="1" applyBorder="1" applyAlignment="1">
      <alignment horizontal="center" vertical="center" wrapText="1" shrinkToFit="1"/>
    </xf>
    <xf numFmtId="0" fontId="22" fillId="0" borderId="4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center" wrapText="1" shrinkToFit="1"/>
    </xf>
    <xf numFmtId="0" fontId="22" fillId="0" borderId="0" xfId="0" applyFont="1" applyBorder="1" applyAlignment="1">
      <alignment horizontal="center" vertical="center" wrapText="1" shrinkToFit="1"/>
    </xf>
    <xf numFmtId="0" fontId="22" fillId="0" borderId="9" xfId="0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center" vertical="center" wrapText="1" shrinkToFit="1"/>
    </xf>
    <xf numFmtId="0" fontId="22" fillId="0" borderId="0" xfId="0" applyFont="1" applyAlignment="1">
      <alignment horizontal="right" vertical="center" wrapText="1" shrinkToFit="1"/>
    </xf>
    <xf numFmtId="166" fontId="22" fillId="0" borderId="13" xfId="0" applyNumberFormat="1" applyFont="1" applyBorder="1" applyAlignment="1">
      <alignment horizontal="right" vertical="center" wrapText="1" shrinkToFit="1"/>
    </xf>
    <xf numFmtId="0" fontId="22" fillId="0" borderId="15" xfId="0" applyFont="1" applyBorder="1" applyAlignment="1">
      <alignment horizontal="right" vertical="center" wrapText="1" shrinkToFi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justify" vertical="top" wrapText="1" shrinkToFit="1"/>
    </xf>
    <xf numFmtId="0" fontId="22" fillId="0" borderId="2" xfId="0" applyFont="1" applyBorder="1" applyAlignment="1">
      <alignment horizontal="justify" vertical="top" wrapText="1" shrinkToFit="1"/>
    </xf>
    <xf numFmtId="166" fontId="22" fillId="0" borderId="3" xfId="0" applyNumberFormat="1" applyFont="1" applyBorder="1" applyAlignment="1">
      <alignment horizontal="right" wrapText="1" shrinkToFit="1"/>
    </xf>
    <xf numFmtId="0" fontId="22" fillId="0" borderId="2" xfId="0" applyFont="1" applyBorder="1" applyAlignment="1">
      <alignment horizontal="right" wrapText="1" shrinkToFit="1"/>
    </xf>
    <xf numFmtId="0" fontId="22" fillId="0" borderId="9" xfId="0" applyFont="1" applyBorder="1" applyAlignment="1">
      <alignment horizontal="right" wrapText="1" shrinkToFit="1"/>
    </xf>
    <xf numFmtId="0" fontId="22" fillId="0" borderId="13" xfId="0" applyFont="1" applyBorder="1" applyAlignment="1">
      <alignment horizontal="justify" vertical="top" wrapText="1" shrinkToFit="1"/>
    </xf>
    <xf numFmtId="0" fontId="22" fillId="0" borderId="14" xfId="0" applyFont="1" applyBorder="1" applyAlignment="1">
      <alignment horizontal="justify" vertical="top" wrapText="1" shrinkToFit="1"/>
    </xf>
    <xf numFmtId="0" fontId="22" fillId="0" borderId="9" xfId="0" applyFont="1" applyBorder="1" applyAlignment="1">
      <alignment horizontal="justify" vertical="top" wrapText="1" shrinkToFit="1"/>
    </xf>
    <xf numFmtId="0" fontId="22" fillId="0" borderId="9" xfId="0" applyFont="1" applyBorder="1" applyAlignment="1">
      <alignment horizontal="right"/>
    </xf>
    <xf numFmtId="166" fontId="22" fillId="0" borderId="3" xfId="0" applyNumberFormat="1" applyFont="1" applyBorder="1" applyAlignment="1">
      <alignment horizontal="right"/>
    </xf>
    <xf numFmtId="166" fontId="22" fillId="0" borderId="3" xfId="0" applyNumberFormat="1" applyFont="1" applyBorder="1" applyAlignment="1">
      <alignment horizontal="right" vertical="center" wrapText="1" shrinkToFit="1"/>
    </xf>
    <xf numFmtId="0" fontId="22" fillId="0" borderId="9" xfId="0" applyFont="1" applyBorder="1" applyAlignment="1">
      <alignment horizontal="right" vertical="center" wrapText="1" shrinkToFit="1"/>
    </xf>
    <xf numFmtId="0" fontId="22" fillId="0" borderId="0" xfId="0" applyFont="1" applyAlignment="1">
      <alignment horizontal="right" vertical="center" shrinkToFit="1"/>
    </xf>
    <xf numFmtId="0" fontId="22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O739"/>
  <sheetViews>
    <sheetView tabSelected="1" zoomScaleNormal="100" workbookViewId="0">
      <selection activeCell="N19" sqref="N19"/>
    </sheetView>
  </sheetViews>
  <sheetFormatPr defaultRowHeight="12.75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2" width="0" hidden="1" customWidth="1"/>
    <col min="93" max="93" width="108.7109375" hidden="1" customWidth="1"/>
    <col min="94" max="100" width="0" hidden="1" customWidth="1"/>
  </cols>
  <sheetData>
    <row r="1" spans="1:93">
      <c r="A1" s="9" t="str">
        <f>Source!B1</f>
        <v>Smeta.RU  (495) 974-1589</v>
      </c>
    </row>
    <row r="2" spans="1:93" ht="12.75" customHeight="1">
      <c r="A2" s="101" t="s">
        <v>439</v>
      </c>
      <c r="B2" s="101"/>
      <c r="C2" s="101"/>
      <c r="D2" s="101"/>
      <c r="E2" s="101"/>
      <c r="F2" s="102" t="s">
        <v>478</v>
      </c>
      <c r="G2" s="102"/>
      <c r="H2" s="102"/>
      <c r="I2" s="102"/>
      <c r="J2" s="102"/>
      <c r="K2" s="102"/>
      <c r="L2" s="102"/>
    </row>
    <row r="3" spans="1:93" ht="12.75" customHeight="1">
      <c r="A3" s="11"/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</row>
    <row r="4" spans="1:93" ht="51">
      <c r="A4" s="101" t="s">
        <v>440</v>
      </c>
      <c r="B4" s="101"/>
      <c r="C4" s="101"/>
      <c r="D4" s="101"/>
      <c r="E4" s="101"/>
      <c r="F4" s="102" t="str">
        <f>IF(Source!CQ12 &lt;&gt; "", Source!CQ12, "")</f>
        <v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v>
      </c>
      <c r="G4" s="102"/>
      <c r="H4" s="102"/>
      <c r="I4" s="102"/>
      <c r="J4" s="102"/>
      <c r="K4" s="102"/>
      <c r="L4" s="102"/>
      <c r="CO4" s="38" t="str">
        <f>IF(Source!CQ12 &lt;&gt; "", Source!CQ12, "")</f>
        <v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v>
      </c>
    </row>
    <row r="5" spans="1:93" ht="12.75" customHeight="1">
      <c r="A5" s="11"/>
      <c r="B5" s="11"/>
      <c r="C5" s="11"/>
      <c r="D5" s="11"/>
      <c r="E5" s="11"/>
      <c r="F5" s="12"/>
      <c r="G5" s="12"/>
      <c r="H5" s="12"/>
      <c r="I5" s="12"/>
      <c r="J5" s="12"/>
      <c r="K5" s="12"/>
      <c r="L5" s="12"/>
    </row>
    <row r="6" spans="1:93" ht="51" customHeight="1">
      <c r="A6" s="101" t="s">
        <v>441</v>
      </c>
      <c r="B6" s="101"/>
      <c r="C6" s="101"/>
      <c r="D6" s="101"/>
      <c r="E6" s="101"/>
      <c r="F6" s="102" t="str">
        <f>IF(Source!CV12 &lt;&gt; "", Source!CV12, "")</f>
        <v/>
      </c>
      <c r="G6" s="102"/>
      <c r="H6" s="102"/>
      <c r="I6" s="102"/>
      <c r="J6" s="102"/>
      <c r="K6" s="102"/>
      <c r="L6" s="102"/>
    </row>
    <row r="7" spans="1:93" ht="12.75" customHeight="1">
      <c r="A7" s="11"/>
      <c r="B7" s="11"/>
      <c r="C7" s="11"/>
      <c r="D7" s="11"/>
      <c r="E7" s="11"/>
      <c r="F7" s="12"/>
      <c r="G7" s="12"/>
      <c r="H7" s="12"/>
      <c r="I7" s="12"/>
      <c r="J7" s="12"/>
      <c r="K7" s="12"/>
      <c r="L7" s="12"/>
    </row>
    <row r="8" spans="1:93" ht="78.599999999999994" customHeight="1">
      <c r="A8" s="101" t="s">
        <v>442</v>
      </c>
      <c r="B8" s="101"/>
      <c r="C8" s="101"/>
      <c r="D8" s="101"/>
      <c r="E8" s="101"/>
      <c r="F8" s="102"/>
      <c r="G8" s="102"/>
      <c r="H8" s="102"/>
      <c r="I8" s="102"/>
      <c r="J8" s="102"/>
      <c r="K8" s="102"/>
      <c r="L8" s="102"/>
    </row>
    <row r="9" spans="1:93" ht="12.75" customHeight="1">
      <c r="A9" s="11"/>
      <c r="B9" s="11"/>
      <c r="C9" s="11"/>
      <c r="D9" s="11"/>
      <c r="E9" s="11"/>
      <c r="F9" s="12"/>
      <c r="G9" s="12"/>
      <c r="H9" s="12"/>
      <c r="I9" s="12"/>
      <c r="J9" s="12"/>
      <c r="K9" s="12"/>
      <c r="L9" s="12"/>
    </row>
    <row r="10" spans="1:93" ht="38.25" customHeight="1">
      <c r="A10" s="101" t="s">
        <v>443</v>
      </c>
      <c r="B10" s="101"/>
      <c r="C10" s="101"/>
      <c r="D10" s="101"/>
      <c r="E10" s="101"/>
      <c r="F10" s="102"/>
      <c r="G10" s="102"/>
      <c r="H10" s="102"/>
      <c r="I10" s="102"/>
      <c r="J10" s="102"/>
      <c r="K10" s="102"/>
      <c r="L10" s="102"/>
    </row>
    <row r="11" spans="1:93" ht="12.75" customHeight="1">
      <c r="A11" s="14"/>
      <c r="B11" s="14"/>
      <c r="C11" s="14"/>
      <c r="D11" s="14"/>
      <c r="E11" s="14"/>
      <c r="F11" s="15"/>
      <c r="G11" s="15"/>
      <c r="H11" s="15"/>
      <c r="I11" s="15"/>
      <c r="J11" s="15"/>
      <c r="K11" s="15"/>
      <c r="L11" s="15"/>
    </row>
    <row r="12" spans="1:93" ht="12.75" customHeight="1">
      <c r="A12" s="101" t="s">
        <v>444</v>
      </c>
      <c r="B12" s="101"/>
      <c r="C12" s="101"/>
      <c r="D12" s="101"/>
      <c r="E12" s="101"/>
      <c r="F12" s="102" t="s">
        <v>9</v>
      </c>
      <c r="G12" s="102"/>
      <c r="H12" s="102"/>
      <c r="I12" s="102"/>
      <c r="J12" s="102"/>
      <c r="K12" s="102"/>
      <c r="L12" s="102"/>
    </row>
    <row r="13" spans="1:93" ht="12.75" customHeight="1">
      <c r="A13" s="14"/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5"/>
    </row>
    <row r="14" spans="1:93" ht="12.75" customHeight="1">
      <c r="A14" s="101" t="s">
        <v>445</v>
      </c>
      <c r="B14" s="101"/>
      <c r="C14" s="101"/>
      <c r="D14" s="101"/>
      <c r="E14" s="101"/>
      <c r="F14" s="102" t="str">
        <f>Source!CZ12</f>
        <v/>
      </c>
      <c r="G14" s="102"/>
      <c r="H14" s="102"/>
      <c r="I14" s="102"/>
      <c r="J14" s="102"/>
      <c r="K14" s="102"/>
      <c r="L14" s="102"/>
    </row>
    <row r="15" spans="1:93" ht="12.75" customHeight="1">
      <c r="A15" s="14"/>
      <c r="B15" s="14"/>
      <c r="C15" s="14"/>
      <c r="D15" s="14"/>
      <c r="E15" s="14"/>
      <c r="F15" s="15"/>
      <c r="G15" s="15"/>
      <c r="H15" s="15"/>
      <c r="I15" s="15"/>
      <c r="J15" s="15"/>
      <c r="K15" s="15"/>
      <c r="L15" s="12"/>
    </row>
    <row r="16" spans="1:93" ht="12.75" customHeight="1">
      <c r="A16" s="101" t="s">
        <v>446</v>
      </c>
      <c r="B16" s="101"/>
      <c r="C16" s="101"/>
      <c r="D16" s="101"/>
      <c r="E16" s="101"/>
      <c r="F16" s="102" t="str">
        <f>IF(Source!DA12 &lt;&gt; "", Source!DA12, "")</f>
        <v/>
      </c>
      <c r="G16" s="102"/>
      <c r="H16" s="102"/>
      <c r="I16" s="102"/>
      <c r="J16" s="102"/>
      <c r="K16" s="102"/>
      <c r="L16" s="102"/>
    </row>
    <row r="17" spans="1:12" ht="12.75" customHeight="1">
      <c r="A17" s="16"/>
      <c r="B17" s="16"/>
      <c r="C17" s="16"/>
      <c r="D17" s="16"/>
      <c r="E17" s="16"/>
      <c r="F17" s="17"/>
      <c r="G17" s="17"/>
      <c r="H17" s="17"/>
      <c r="I17" s="17"/>
      <c r="J17" s="17"/>
      <c r="K17" s="17"/>
      <c r="L17" s="17"/>
    </row>
    <row r="18" spans="1:12" ht="12.75" customHeight="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5.75" customHeight="1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1:12" ht="14.25" customHeight="1">
      <c r="A20" s="104" t="s">
        <v>447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4.2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 ht="15.75" customHeight="1">
      <c r="A22" s="103" t="str">
        <f>IF(Source!G12&lt;&gt;"Новый объект", Source!G12, "")</f>
        <v>Монтаж АИИС КУЭ "Матрица" в ТП-1037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1:12" ht="14.25" customHeight="1">
      <c r="A23" s="104" t="s">
        <v>448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2" ht="14.25" customHeight="1">
      <c r="A24" s="18"/>
      <c r="B24" s="18"/>
      <c r="C24" s="18"/>
      <c r="D24" s="18"/>
      <c r="E24" s="18"/>
      <c r="F24" s="19"/>
      <c r="G24" s="19"/>
      <c r="H24" s="19"/>
      <c r="I24" s="19"/>
      <c r="J24" s="19"/>
      <c r="K24" s="19"/>
      <c r="L24" s="19"/>
    </row>
    <row r="25" spans="1:12" ht="15.75" customHeight="1">
      <c r="A25" s="107" t="str">
        <f>CONCATENATE( "ЛОКАЛЬНАЯ СМЕТА № ", Source!L20, " ",Source!CM20)</f>
        <v xml:space="preserve">ЛОКАЛЬНАЯ СМЕТА № 1 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</row>
    <row r="26" spans="1:12" ht="15" customHeight="1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0"/>
    </row>
    <row r="27" spans="1:12" ht="18" customHeight="1">
      <c r="A27" s="108" t="str">
        <f>IF(Source!G20&lt;&gt;"Новая локальная смета", Source!G20, "")</f>
        <v/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</row>
    <row r="28" spans="1:12" ht="14.25" customHeight="1">
      <c r="A28" s="104" t="s">
        <v>449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</row>
    <row r="29" spans="1:12" ht="14.2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ht="14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ht="12.75" customHeight="1">
      <c r="A31" s="10" t="s">
        <v>450</v>
      </c>
      <c r="B31" s="10"/>
      <c r="C31" s="23" t="s">
        <v>479</v>
      </c>
      <c r="D31" s="10" t="s">
        <v>451</v>
      </c>
      <c r="E31" s="10"/>
      <c r="F31" s="10"/>
      <c r="G31" s="10"/>
      <c r="H31" s="10"/>
      <c r="I31" s="10"/>
      <c r="J31" s="10"/>
      <c r="K31" s="10"/>
      <c r="L31" s="10"/>
    </row>
    <row r="32" spans="1:12" ht="12.75" customHeight="1">
      <c r="A32" s="10"/>
      <c r="B32" s="10"/>
      <c r="C32" s="24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2.75" customHeight="1">
      <c r="A33" s="10" t="s">
        <v>452</v>
      </c>
      <c r="B33" s="10"/>
      <c r="C33" s="109"/>
      <c r="D33" s="109"/>
      <c r="E33" s="109"/>
      <c r="F33" s="109"/>
      <c r="G33" s="109"/>
      <c r="H33" s="109"/>
      <c r="I33" s="109"/>
      <c r="J33" s="109"/>
      <c r="K33" s="109"/>
      <c r="L33" s="109"/>
    </row>
    <row r="34" spans="1:12" ht="12.75" customHeight="1">
      <c r="A34" s="25"/>
      <c r="B34" s="26"/>
      <c r="C34" s="104" t="s">
        <v>453</v>
      </c>
      <c r="D34" s="104"/>
      <c r="E34" s="104"/>
      <c r="F34" s="104"/>
      <c r="G34" s="104"/>
      <c r="H34" s="104"/>
      <c r="I34" s="104"/>
      <c r="J34" s="104"/>
      <c r="K34" s="104"/>
      <c r="L34" s="104"/>
    </row>
    <row r="35" spans="1:12" ht="14.2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 ht="14.25" customHeight="1">
      <c r="A36" s="27" t="s">
        <v>480</v>
      </c>
      <c r="B36" s="18"/>
      <c r="C36" s="18"/>
      <c r="D36" s="28"/>
      <c r="E36" s="18"/>
      <c r="F36" s="18"/>
      <c r="G36" s="18"/>
      <c r="H36" s="18"/>
      <c r="I36" s="18"/>
      <c r="J36" s="18"/>
      <c r="K36" s="18"/>
      <c r="L36" s="18"/>
    </row>
    <row r="37" spans="1:12" ht="14.2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ht="14.25" customHeight="1">
      <c r="A38" s="27" t="s">
        <v>454</v>
      </c>
      <c r="B38" s="18"/>
      <c r="C38" s="105">
        <f>C41+C42+C43+C44</f>
        <v>3214.16</v>
      </c>
      <c r="D38" s="106"/>
      <c r="E38" s="10" t="s">
        <v>455</v>
      </c>
      <c r="F38" s="16"/>
      <c r="G38" s="16"/>
      <c r="H38" s="16"/>
      <c r="I38" s="16"/>
      <c r="J38" s="16"/>
      <c r="K38" s="16"/>
      <c r="L38" s="18"/>
    </row>
    <row r="39" spans="1:12" ht="14.25" customHeight="1">
      <c r="A39" s="27"/>
      <c r="B39" s="18"/>
      <c r="C39" s="70"/>
      <c r="D39" s="29"/>
      <c r="E39" s="10"/>
      <c r="F39" s="16"/>
      <c r="G39" s="10" t="s">
        <v>456</v>
      </c>
      <c r="H39" s="18"/>
      <c r="I39" s="10"/>
      <c r="J39" s="10"/>
      <c r="K39" s="72">
        <f>ROUND(SUM(AR52:AR732)/1000, 2)</f>
        <v>94.99</v>
      </c>
      <c r="L39" s="10" t="s">
        <v>455</v>
      </c>
    </row>
    <row r="40" spans="1:12" ht="14.25" customHeight="1">
      <c r="A40" s="18"/>
      <c r="B40" s="30" t="s">
        <v>457</v>
      </c>
      <c r="C40" s="71"/>
      <c r="D40" s="18"/>
      <c r="E40" s="10"/>
      <c r="F40" s="16"/>
      <c r="G40" s="10" t="s">
        <v>458</v>
      </c>
      <c r="H40" s="18"/>
      <c r="I40" s="10"/>
      <c r="J40" s="10"/>
      <c r="K40" s="72">
        <f>ROUND(SUM(AT52:AT732)/1000, 2)</f>
        <v>2.12</v>
      </c>
      <c r="L40" s="10" t="s">
        <v>455</v>
      </c>
    </row>
    <row r="41" spans="1:12" ht="14.25" customHeight="1">
      <c r="A41" s="18"/>
      <c r="B41" s="27" t="s">
        <v>459</v>
      </c>
      <c r="C41" s="105">
        <f>ROUND((Source!F422)/1000, 2)</f>
        <v>2957.61</v>
      </c>
      <c r="D41" s="106"/>
      <c r="E41" s="10" t="s">
        <v>455</v>
      </c>
      <c r="F41" s="16"/>
      <c r="G41" s="10" t="s">
        <v>460</v>
      </c>
      <c r="H41" s="18"/>
      <c r="I41" s="10"/>
      <c r="J41" s="29"/>
      <c r="K41" s="73">
        <f>Source!F427</f>
        <v>291.12199999999996</v>
      </c>
      <c r="L41" s="10" t="s">
        <v>321</v>
      </c>
    </row>
    <row r="42" spans="1:12" ht="14.25" customHeight="1">
      <c r="A42" s="18"/>
      <c r="B42" s="27" t="s">
        <v>461</v>
      </c>
      <c r="C42" s="105">
        <f>ROUND((Source!F423)/1000, 2)</f>
        <v>237.37</v>
      </c>
      <c r="D42" s="106"/>
      <c r="E42" s="10" t="s">
        <v>455</v>
      </c>
      <c r="F42" s="16"/>
      <c r="G42" s="10" t="s">
        <v>462</v>
      </c>
      <c r="H42" s="18"/>
      <c r="I42" s="10"/>
      <c r="J42" s="31"/>
      <c r="K42" s="73">
        <f>Source!F428</f>
        <v>13.37956</v>
      </c>
      <c r="L42" s="10" t="s">
        <v>321</v>
      </c>
    </row>
    <row r="43" spans="1:12" ht="14.25" customHeight="1">
      <c r="A43" s="18"/>
      <c r="B43" s="27" t="s">
        <v>463</v>
      </c>
      <c r="C43" s="105">
        <f>ROUND((Source!F414)/1000, 2)</f>
        <v>0</v>
      </c>
      <c r="D43" s="106"/>
      <c r="E43" s="10" t="s">
        <v>455</v>
      </c>
      <c r="F43" s="16"/>
      <c r="G43" s="10"/>
      <c r="H43" s="10"/>
      <c r="I43" s="10"/>
      <c r="J43" s="10"/>
      <c r="K43" s="16"/>
      <c r="L43" s="10"/>
    </row>
    <row r="44" spans="1:12" ht="14.25" customHeight="1">
      <c r="A44" s="18"/>
      <c r="B44" s="27" t="s">
        <v>464</v>
      </c>
      <c r="C44" s="105">
        <f>ROUND((Source!F424)/1000, 2)</f>
        <v>19.18</v>
      </c>
      <c r="D44" s="106"/>
      <c r="E44" s="10" t="s">
        <v>455</v>
      </c>
      <c r="F44" s="16"/>
      <c r="G44" s="10"/>
      <c r="H44" s="10"/>
      <c r="I44" s="10"/>
      <c r="J44" s="10"/>
      <c r="K44" s="16"/>
      <c r="L44" s="10"/>
    </row>
    <row r="45" spans="1:12" ht="14.2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ht="12.75" customHeight="1">
      <c r="A46" s="113" t="s">
        <v>465</v>
      </c>
      <c r="B46" s="113" t="s">
        <v>466</v>
      </c>
      <c r="C46" s="113" t="s">
        <v>467</v>
      </c>
      <c r="D46" s="113" t="s">
        <v>468</v>
      </c>
      <c r="E46" s="116" t="s">
        <v>469</v>
      </c>
      <c r="F46" s="117"/>
      <c r="G46" s="118"/>
      <c r="H46" s="116" t="s">
        <v>470</v>
      </c>
      <c r="I46" s="117"/>
      <c r="J46" s="117"/>
      <c r="K46" s="117"/>
      <c r="L46" s="118"/>
    </row>
    <row r="47" spans="1:12" ht="12.75" customHeight="1">
      <c r="A47" s="114"/>
      <c r="B47" s="114"/>
      <c r="C47" s="114"/>
      <c r="D47" s="114"/>
      <c r="E47" s="119"/>
      <c r="F47" s="120"/>
      <c r="G47" s="121"/>
      <c r="H47" s="125"/>
      <c r="I47" s="120"/>
      <c r="J47" s="120"/>
      <c r="K47" s="120"/>
      <c r="L47" s="121"/>
    </row>
    <row r="48" spans="1:12" ht="12.75" customHeight="1">
      <c r="A48" s="114"/>
      <c r="B48" s="114"/>
      <c r="C48" s="114"/>
      <c r="D48" s="114"/>
      <c r="E48" s="119"/>
      <c r="F48" s="120"/>
      <c r="G48" s="121"/>
      <c r="H48" s="125"/>
      <c r="I48" s="120"/>
      <c r="J48" s="120"/>
      <c r="K48" s="120"/>
      <c r="L48" s="121"/>
    </row>
    <row r="49" spans="1:83" ht="12.75" customHeight="1">
      <c r="A49" s="114"/>
      <c r="B49" s="114"/>
      <c r="C49" s="114"/>
      <c r="D49" s="114"/>
      <c r="E49" s="122"/>
      <c r="F49" s="123"/>
      <c r="G49" s="124"/>
      <c r="H49" s="126"/>
      <c r="I49" s="123"/>
      <c r="J49" s="123"/>
      <c r="K49" s="123"/>
      <c r="L49" s="124"/>
    </row>
    <row r="50" spans="1:83" ht="51" customHeight="1">
      <c r="A50" s="115"/>
      <c r="B50" s="115"/>
      <c r="C50" s="115"/>
      <c r="D50" s="115"/>
      <c r="E50" s="33" t="s">
        <v>471</v>
      </c>
      <c r="F50" s="33" t="s">
        <v>472</v>
      </c>
      <c r="G50" s="34" t="s">
        <v>473</v>
      </c>
      <c r="H50" s="33" t="s">
        <v>474</v>
      </c>
      <c r="I50" s="33" t="s">
        <v>475</v>
      </c>
      <c r="J50" s="33" t="s">
        <v>476</v>
      </c>
      <c r="K50" s="33" t="s">
        <v>472</v>
      </c>
      <c r="L50" s="33" t="s">
        <v>477</v>
      </c>
    </row>
    <row r="51" spans="1:83" ht="14.25" customHeight="1">
      <c r="A51" s="35">
        <v>1</v>
      </c>
      <c r="B51" s="35">
        <v>2</v>
      </c>
      <c r="C51" s="35">
        <v>3</v>
      </c>
      <c r="D51" s="35">
        <v>4</v>
      </c>
      <c r="E51" s="35">
        <v>5</v>
      </c>
      <c r="F51" s="35">
        <v>6</v>
      </c>
      <c r="G51" s="35">
        <v>7</v>
      </c>
      <c r="H51" s="35">
        <v>8</v>
      </c>
      <c r="I51" s="35">
        <v>9</v>
      </c>
      <c r="J51" s="35">
        <v>10</v>
      </c>
      <c r="K51" s="37">
        <v>11</v>
      </c>
      <c r="L51" s="37">
        <v>12</v>
      </c>
    </row>
    <row r="53" spans="1:83" ht="16.5">
      <c r="A53" s="110" t="s">
        <v>481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</row>
    <row r="54" spans="1:83" ht="28.5">
      <c r="A54" s="40" t="s">
        <v>17</v>
      </c>
      <c r="B54" s="42" t="s">
        <v>482</v>
      </c>
      <c r="C54" s="42" t="str">
        <f>Source!G28</f>
        <v>Счетчики, устанавливаемые на готовом основании: однофазные</v>
      </c>
      <c r="D54" s="43" t="str">
        <f>Source!H28</f>
        <v>ШТ</v>
      </c>
      <c r="E54" s="47">
        <f>Source!K28</f>
        <v>187</v>
      </c>
      <c r="F54" s="41"/>
      <c r="G54" s="47">
        <f>Source!I28</f>
        <v>187</v>
      </c>
      <c r="H54" s="48"/>
      <c r="I54" s="46"/>
      <c r="J54" s="48"/>
      <c r="K54" s="42"/>
      <c r="L54" s="48"/>
    </row>
    <row r="55" spans="1:83" ht="15">
      <c r="A55" s="41"/>
      <c r="B55" s="45">
        <v>1</v>
      </c>
      <c r="C55" s="41" t="s">
        <v>483</v>
      </c>
      <c r="D55" s="43" t="s">
        <v>321</v>
      </c>
      <c r="E55" s="47"/>
      <c r="F55" s="45"/>
      <c r="G55" s="47">
        <f>Source!U28</f>
        <v>52.36</v>
      </c>
      <c r="H55" s="45"/>
      <c r="I55" s="45"/>
      <c r="J55" s="45"/>
      <c r="K55" s="45"/>
      <c r="L55" s="49">
        <f>SUM(L56:L56)-SUMIF(CE56:CE56, 1, L56:L56)</f>
        <v>16344.7</v>
      </c>
    </row>
    <row r="56" spans="1:83" ht="28.5">
      <c r="A56" s="42"/>
      <c r="B56" s="42" t="s">
        <v>319</v>
      </c>
      <c r="C56" s="42" t="s">
        <v>320</v>
      </c>
      <c r="D56" s="43" t="s">
        <v>321</v>
      </c>
      <c r="E56" s="47">
        <v>0.28000000000000003</v>
      </c>
      <c r="F56" s="41"/>
      <c r="G56" s="47">
        <f>SmtRes!CX1</f>
        <v>52.36</v>
      </c>
      <c r="H56" s="48"/>
      <c r="I56" s="46"/>
      <c r="J56" s="48">
        <f>SmtRes!CZ1</f>
        <v>312.16000000000003</v>
      </c>
      <c r="K56" s="42"/>
      <c r="L56" s="48">
        <f>SmtRes!DI1</f>
        <v>16344.7</v>
      </c>
    </row>
    <row r="57" spans="1:83" ht="15">
      <c r="A57" s="41"/>
      <c r="B57" s="45">
        <v>2</v>
      </c>
      <c r="C57" s="41" t="s">
        <v>484</v>
      </c>
      <c r="D57" s="43"/>
      <c r="E57" s="47"/>
      <c r="F57" s="45"/>
      <c r="G57" s="47"/>
      <c r="H57" s="45"/>
      <c r="I57" s="45"/>
      <c r="J57" s="45"/>
      <c r="K57" s="45"/>
      <c r="L57" s="49">
        <f>SUM(L58:L62)-SUMIF(CE58:CE62, 1, L58:L62)</f>
        <v>3741.4799999999996</v>
      </c>
    </row>
    <row r="58" spans="1:83" ht="15">
      <c r="A58" s="41"/>
      <c r="B58" s="45"/>
      <c r="C58" s="41" t="s">
        <v>487</v>
      </c>
      <c r="D58" s="43" t="s">
        <v>321</v>
      </c>
      <c r="E58" s="47"/>
      <c r="F58" s="45"/>
      <c r="G58" s="47">
        <f>Source!V28</f>
        <v>3.74</v>
      </c>
      <c r="H58" s="45"/>
      <c r="I58" s="45"/>
      <c r="J58" s="45"/>
      <c r="K58" s="45"/>
      <c r="L58" s="49">
        <f>SUMIF(CE59:CE62, 1, L59:L62)</f>
        <v>1328.21</v>
      </c>
      <c r="CE58">
        <v>1</v>
      </c>
    </row>
    <row r="59" spans="1:83" ht="28.5">
      <c r="A59" s="42"/>
      <c r="B59" s="42" t="s">
        <v>324</v>
      </c>
      <c r="C59" s="42" t="s">
        <v>326</v>
      </c>
      <c r="D59" s="43" t="s">
        <v>327</v>
      </c>
      <c r="E59" s="47">
        <v>0.01</v>
      </c>
      <c r="F59" s="41"/>
      <c r="G59" s="47">
        <f>SmtRes!CX3</f>
        <v>1.87</v>
      </c>
      <c r="H59" s="48"/>
      <c r="I59" s="46"/>
      <c r="J59" s="48">
        <f>SmtRes!CZ3</f>
        <v>1442.85</v>
      </c>
      <c r="K59" s="42"/>
      <c r="L59" s="48">
        <f>SmtRes!DG3</f>
        <v>2698.13</v>
      </c>
    </row>
    <row r="60" spans="1:83" ht="28.5">
      <c r="A60" s="42"/>
      <c r="B60" s="42" t="s">
        <v>328</v>
      </c>
      <c r="C60" s="42" t="s">
        <v>485</v>
      </c>
      <c r="D60" s="43" t="s">
        <v>321</v>
      </c>
      <c r="E60" s="47">
        <f>SmtRes!DO3*SmtRes!AT3</f>
        <v>0.01</v>
      </c>
      <c r="F60" s="41"/>
      <c r="G60" s="47">
        <f>SmtRes!DO3*SmtRes!CX3</f>
        <v>1.87</v>
      </c>
      <c r="H60" s="48"/>
      <c r="I60" s="46"/>
      <c r="J60" s="48">
        <f>ROUND(SmtRes!AG3/SmtRes!DO3, 2)</f>
        <v>407.16</v>
      </c>
      <c r="K60" s="42"/>
      <c r="L60" s="48">
        <f>SmtRes!DH3</f>
        <v>761.39</v>
      </c>
      <c r="CE60">
        <v>1</v>
      </c>
    </row>
    <row r="61" spans="1:83" ht="28.5">
      <c r="A61" s="42"/>
      <c r="B61" s="42" t="s">
        <v>329</v>
      </c>
      <c r="C61" s="42" t="s">
        <v>331</v>
      </c>
      <c r="D61" s="43" t="s">
        <v>327</v>
      </c>
      <c r="E61" s="47">
        <v>0.01</v>
      </c>
      <c r="F61" s="41"/>
      <c r="G61" s="47">
        <f>SmtRes!CX4</f>
        <v>1.87</v>
      </c>
      <c r="H61" s="48"/>
      <c r="I61" s="46"/>
      <c r="J61" s="48">
        <f>SmtRes!CZ4</f>
        <v>557.94000000000005</v>
      </c>
      <c r="K61" s="42"/>
      <c r="L61" s="48">
        <f>SmtRes!DG4</f>
        <v>1043.3499999999999</v>
      </c>
    </row>
    <row r="62" spans="1:83" ht="28.5">
      <c r="A62" s="42"/>
      <c r="B62" s="42" t="s">
        <v>332</v>
      </c>
      <c r="C62" s="42" t="s">
        <v>486</v>
      </c>
      <c r="D62" s="43" t="s">
        <v>321</v>
      </c>
      <c r="E62" s="47">
        <f>SmtRes!DO4*SmtRes!AT4</f>
        <v>0.01</v>
      </c>
      <c r="F62" s="41"/>
      <c r="G62" s="47">
        <f>SmtRes!DO4*SmtRes!CX4</f>
        <v>1.87</v>
      </c>
      <c r="H62" s="48"/>
      <c r="I62" s="46"/>
      <c r="J62" s="48">
        <f>ROUND(SmtRes!AG4/SmtRes!DO4, 2)</f>
        <v>303.11</v>
      </c>
      <c r="K62" s="42"/>
      <c r="L62" s="48">
        <f>SmtRes!DH4</f>
        <v>566.82000000000005</v>
      </c>
      <c r="CE62">
        <v>1</v>
      </c>
    </row>
    <row r="63" spans="1:83" ht="15">
      <c r="A63" s="41"/>
      <c r="B63" s="45">
        <v>4</v>
      </c>
      <c r="C63" s="41" t="s">
        <v>488</v>
      </c>
      <c r="D63" s="43"/>
      <c r="E63" s="47"/>
      <c r="F63" s="45"/>
      <c r="G63" s="47"/>
      <c r="H63" s="45"/>
      <c r="I63" s="45"/>
      <c r="J63" s="45"/>
      <c r="K63" s="45"/>
      <c r="L63" s="49">
        <f>SUM(L64:L64)-SUMIF(CE64:CE64, 1, L64:L64)</f>
        <v>829.11</v>
      </c>
    </row>
    <row r="64" spans="1:83" ht="28.5">
      <c r="A64" s="42"/>
      <c r="B64" s="42" t="s">
        <v>333</v>
      </c>
      <c r="C64" s="50" t="s">
        <v>335</v>
      </c>
      <c r="D64" s="51" t="s">
        <v>37</v>
      </c>
      <c r="E64" s="52">
        <v>3.0000000000000001E-5</v>
      </c>
      <c r="F64" s="53"/>
      <c r="G64" s="52">
        <f>SmtRes!CX5</f>
        <v>5.6100000000000004E-3</v>
      </c>
      <c r="H64" s="54">
        <f>SmtRes!CZ5</f>
        <v>127406</v>
      </c>
      <c r="I64" s="55">
        <f>SmtRes!AI5</f>
        <v>1.1599999999999999</v>
      </c>
      <c r="J64" s="54">
        <f>ROUND(H64*I64, 2)</f>
        <v>147790.96</v>
      </c>
      <c r="K64" s="50"/>
      <c r="L64" s="54">
        <f>SmtRes!DF5</f>
        <v>829.11</v>
      </c>
    </row>
    <row r="65" spans="1:83" ht="15">
      <c r="A65" s="42"/>
      <c r="B65" s="42"/>
      <c r="C65" s="58" t="s">
        <v>489</v>
      </c>
      <c r="D65" s="43"/>
      <c r="E65" s="47"/>
      <c r="F65" s="41"/>
      <c r="G65" s="47"/>
      <c r="H65" s="48"/>
      <c r="I65" s="46"/>
      <c r="J65" s="48"/>
      <c r="K65" s="42"/>
      <c r="L65" s="48">
        <f>L55+L57+L58+L63</f>
        <v>22243.5</v>
      </c>
    </row>
    <row r="66" spans="1:83" ht="57">
      <c r="A66" s="40" t="s">
        <v>490</v>
      </c>
      <c r="B66" s="42" t="str">
        <f>Source!F29</f>
        <v>421/пр_2020_п.75_пп.а</v>
      </c>
      <c r="C66" s="42" t="str">
        <f>Source!G29</f>
        <v>Сметная стоимость вспомогательных ненормируемых материальных ресурсов, не учтенная в сметной норме, 2%</v>
      </c>
      <c r="D66" s="43" t="str">
        <f>Source!H29</f>
        <v>%</v>
      </c>
      <c r="E66" s="47">
        <f>SmtRes!AT6</f>
        <v>2</v>
      </c>
      <c r="F66" s="41"/>
      <c r="G66" s="47">
        <f>Source!I29</f>
        <v>2</v>
      </c>
      <c r="H66" s="48"/>
      <c r="I66" s="46"/>
      <c r="J66" s="48"/>
      <c r="K66" s="42"/>
      <c r="L66" s="48">
        <f>Source!P29</f>
        <v>326.89</v>
      </c>
      <c r="AD66">
        <f>ROUND((Source!AT29/100)*((ROUND(0*Source!I29, 2)+ROUND(0*Source!I29, 2))), 2)</f>
        <v>0</v>
      </c>
      <c r="AE66">
        <f>ROUND((Source!AU29/100)*((ROUND(0*Source!I29, 2)+ROUND(0*Source!I29, 2))), 2)</f>
        <v>0</v>
      </c>
      <c r="AN66">
        <f>L66</f>
        <v>326.89</v>
      </c>
      <c r="AW66">
        <f>L66</f>
        <v>326.89</v>
      </c>
      <c r="AZ66">
        <f>Source!X29</f>
        <v>0</v>
      </c>
      <c r="BA66">
        <f>Source!Y29</f>
        <v>0</v>
      </c>
      <c r="CD66">
        <v>4</v>
      </c>
    </row>
    <row r="67" spans="1:83" ht="14.25">
      <c r="A67" s="42"/>
      <c r="B67" s="42"/>
      <c r="C67" s="42" t="s">
        <v>491</v>
      </c>
      <c r="D67" s="43"/>
      <c r="E67" s="47"/>
      <c r="F67" s="41"/>
      <c r="G67" s="47"/>
      <c r="H67" s="48"/>
      <c r="I67" s="46"/>
      <c r="J67" s="48"/>
      <c r="K67" s="42"/>
      <c r="L67" s="48">
        <f>SUM(AR54:AR70)+SUM(AS54:AS70)+SUM(AT54:AT70)+SUM(AU54:AU70)+SUM(AV54:AV70)</f>
        <v>17672.91</v>
      </c>
    </row>
    <row r="68" spans="1:83" ht="28.5">
      <c r="A68" s="42"/>
      <c r="B68" s="42" t="s">
        <v>25</v>
      </c>
      <c r="C68" s="42" t="s">
        <v>492</v>
      </c>
      <c r="D68" s="43" t="s">
        <v>30</v>
      </c>
      <c r="E68" s="47">
        <f>Source!BZ28</f>
        <v>97</v>
      </c>
      <c r="F68" s="41"/>
      <c r="G68" s="47">
        <f>Source!AT28</f>
        <v>97</v>
      </c>
      <c r="H68" s="48"/>
      <c r="I68" s="46"/>
      <c r="J68" s="48"/>
      <c r="K68" s="42"/>
      <c r="L68" s="48">
        <f>SUM(AZ54:AZ70)</f>
        <v>17142.72</v>
      </c>
    </row>
    <row r="69" spans="1:83" ht="28.5">
      <c r="A69" s="50"/>
      <c r="B69" s="50" t="s">
        <v>26</v>
      </c>
      <c r="C69" s="50" t="s">
        <v>493</v>
      </c>
      <c r="D69" s="51" t="s">
        <v>30</v>
      </c>
      <c r="E69" s="52">
        <f>Source!CA28</f>
        <v>51</v>
      </c>
      <c r="F69" s="53"/>
      <c r="G69" s="52">
        <f>Source!AU28</f>
        <v>51</v>
      </c>
      <c r="H69" s="54"/>
      <c r="I69" s="55"/>
      <c r="J69" s="54"/>
      <c r="K69" s="50"/>
      <c r="L69" s="54">
        <f>SUM(BA54:BA70)</f>
        <v>9013.18</v>
      </c>
    </row>
    <row r="70" spans="1:83" ht="15">
      <c r="C70" s="111" t="s">
        <v>494</v>
      </c>
      <c r="D70" s="111"/>
      <c r="E70" s="111"/>
      <c r="F70" s="111"/>
      <c r="G70" s="111"/>
      <c r="H70" s="111"/>
      <c r="I70" s="112">
        <f>K70/E54</f>
        <v>260.56839572192513</v>
      </c>
      <c r="J70" s="112"/>
      <c r="K70" s="112">
        <f>L55+L57+L63+L68+L69+L58+SUM(L66:L66)</f>
        <v>48726.29</v>
      </c>
      <c r="L70" s="112"/>
      <c r="AD70">
        <f>ROUND((Source!AT28/100)*((ROUND(SUMIF(SmtRes!AQ1:'SmtRes'!AQ6,"=1",SmtRes!AD1:'SmtRes'!AD6)*Source!I28, 2)+ROUND(SUMIF(SmtRes!AQ1:'SmtRes'!AQ6,"=1",SmtRes!AC1:'SmtRes'!AC6)*Source!I28, 2))), 2)</f>
        <v>185458.58</v>
      </c>
      <c r="AE70">
        <f>ROUND((Source!AU28/100)*((ROUND(SUMIF(SmtRes!AQ1:'SmtRes'!AQ6,"=1",SmtRes!AD1:'SmtRes'!AD6)*Source!I28, 2)+ROUND(SUMIF(SmtRes!AQ1:'SmtRes'!AQ6,"=1",SmtRes!AC1:'SmtRes'!AC6)*Source!I28, 2))), 2)</f>
        <v>97509.15</v>
      </c>
      <c r="AN70" s="56">
        <f>L55+L57+L63+L68+L69+L58</f>
        <v>48399.4</v>
      </c>
      <c r="AO70" s="56">
        <f>L57</f>
        <v>3741.4799999999996</v>
      </c>
      <c r="AQ70" t="s">
        <v>495</v>
      </c>
      <c r="AR70" s="56">
        <f>L55</f>
        <v>16344.7</v>
      </c>
      <c r="AT70" s="56">
        <f>L58</f>
        <v>1328.21</v>
      </c>
      <c r="AV70" t="s">
        <v>495</v>
      </c>
      <c r="AW70" s="56">
        <f>L63</f>
        <v>829.11</v>
      </c>
      <c r="AZ70">
        <f>Source!X28</f>
        <v>17142.72</v>
      </c>
      <c r="BA70">
        <f>Source!Y28</f>
        <v>9013.18</v>
      </c>
      <c r="CD70">
        <v>2</v>
      </c>
    </row>
    <row r="71" spans="1:83" ht="68.25">
      <c r="A71" s="40" t="s">
        <v>34</v>
      </c>
      <c r="B71" s="42" t="s">
        <v>496</v>
      </c>
      <c r="C71" s="42" t="s">
        <v>497</v>
      </c>
      <c r="D71" s="43" t="str">
        <f>Source!H30</f>
        <v>т</v>
      </c>
      <c r="E71" s="47">
        <f>Source!K30</f>
        <v>2.8000000000000001E-2</v>
      </c>
      <c r="F71" s="41"/>
      <c r="G71" s="47">
        <f>Source!I30</f>
        <v>2.8000000000000001E-2</v>
      </c>
      <c r="H71" s="48"/>
      <c r="I71" s="46"/>
      <c r="J71" s="48"/>
      <c r="K71" s="42"/>
      <c r="L71" s="48"/>
    </row>
    <row r="72" spans="1:83" ht="15">
      <c r="A72" s="41"/>
      <c r="B72" s="45">
        <v>1</v>
      </c>
      <c r="C72" s="41" t="s">
        <v>483</v>
      </c>
      <c r="D72" s="43" t="s">
        <v>321</v>
      </c>
      <c r="E72" s="47"/>
      <c r="F72" s="45"/>
      <c r="G72" s="47">
        <f>Source!U30</f>
        <v>1.5007999999999999</v>
      </c>
      <c r="H72" s="45"/>
      <c r="I72" s="45"/>
      <c r="J72" s="45"/>
      <c r="K72" s="45"/>
      <c r="L72" s="49">
        <f>SUM(L73:L73)-SUMIF(CE73:CE73, 1, L73:L73)</f>
        <v>454.91</v>
      </c>
    </row>
    <row r="73" spans="1:83" ht="28.5">
      <c r="A73" s="42"/>
      <c r="B73" s="42" t="s">
        <v>336</v>
      </c>
      <c r="C73" s="42" t="s">
        <v>337</v>
      </c>
      <c r="D73" s="43" t="s">
        <v>321</v>
      </c>
      <c r="E73" s="47">
        <v>53.6</v>
      </c>
      <c r="F73" s="41"/>
      <c r="G73" s="47">
        <f>SmtRes!CX7</f>
        <v>1.5007999999999999</v>
      </c>
      <c r="H73" s="48"/>
      <c r="I73" s="46"/>
      <c r="J73" s="48">
        <f>SmtRes!CZ7</f>
        <v>303.11</v>
      </c>
      <c r="K73" s="42"/>
      <c r="L73" s="48">
        <f>SmtRes!DI7</f>
        <v>454.91</v>
      </c>
    </row>
    <row r="74" spans="1:83" ht="15">
      <c r="A74" s="41"/>
      <c r="B74" s="45">
        <v>2</v>
      </c>
      <c r="C74" s="41" t="s">
        <v>484</v>
      </c>
      <c r="D74" s="43"/>
      <c r="E74" s="47"/>
      <c r="F74" s="45"/>
      <c r="G74" s="47"/>
      <c r="H74" s="45"/>
      <c r="I74" s="45"/>
      <c r="J74" s="45"/>
      <c r="K74" s="45"/>
      <c r="L74" s="49">
        <f>SUM(L75:L80)-SUMIF(CE75:CE80, 1, L75:L80)</f>
        <v>96.149999999999991</v>
      </c>
    </row>
    <row r="75" spans="1:83" ht="15">
      <c r="A75" s="41"/>
      <c r="B75" s="45"/>
      <c r="C75" s="41" t="s">
        <v>487</v>
      </c>
      <c r="D75" s="43" t="s">
        <v>321</v>
      </c>
      <c r="E75" s="47"/>
      <c r="F75" s="45"/>
      <c r="G75" s="47">
        <f>Source!V30</f>
        <v>0.45556000000000002</v>
      </c>
      <c r="H75" s="45"/>
      <c r="I75" s="45"/>
      <c r="J75" s="45"/>
      <c r="K75" s="45"/>
      <c r="L75" s="49">
        <f>SUMIF(CE76:CE80, 1, L76:L80)</f>
        <v>31.82</v>
      </c>
      <c r="CE75">
        <v>1</v>
      </c>
    </row>
    <row r="76" spans="1:83" ht="28.5">
      <c r="A76" s="42"/>
      <c r="B76" s="42" t="s">
        <v>324</v>
      </c>
      <c r="C76" s="42" t="s">
        <v>326</v>
      </c>
      <c r="D76" s="43" t="s">
        <v>327</v>
      </c>
      <c r="E76" s="47">
        <v>1.6</v>
      </c>
      <c r="F76" s="41"/>
      <c r="G76" s="47">
        <f>SmtRes!CX9</f>
        <v>4.48E-2</v>
      </c>
      <c r="H76" s="48"/>
      <c r="I76" s="46"/>
      <c r="J76" s="48">
        <f>SmtRes!CZ9</f>
        <v>1442.85</v>
      </c>
      <c r="K76" s="42"/>
      <c r="L76" s="48">
        <f>SmtRes!DG9</f>
        <v>64.64</v>
      </c>
    </row>
    <row r="77" spans="1:83" ht="28.5">
      <c r="A77" s="42"/>
      <c r="B77" s="42" t="s">
        <v>328</v>
      </c>
      <c r="C77" s="42" t="s">
        <v>485</v>
      </c>
      <c r="D77" s="43" t="s">
        <v>321</v>
      </c>
      <c r="E77" s="47">
        <f>SmtRes!DO9*SmtRes!AT9</f>
        <v>1.6</v>
      </c>
      <c r="F77" s="41"/>
      <c r="G77" s="47">
        <f>SmtRes!DO9*SmtRes!CX9</f>
        <v>4.48E-2</v>
      </c>
      <c r="H77" s="48"/>
      <c r="I77" s="46"/>
      <c r="J77" s="48">
        <f>ROUND(SmtRes!AG9/SmtRes!DO9, 2)</f>
        <v>407.16</v>
      </c>
      <c r="K77" s="42"/>
      <c r="L77" s="48">
        <f>SmtRes!DH9</f>
        <v>18.239999999999998</v>
      </c>
      <c r="CE77">
        <v>1</v>
      </c>
    </row>
    <row r="78" spans="1:83" ht="28.5">
      <c r="A78" s="42"/>
      <c r="B78" s="42" t="s">
        <v>329</v>
      </c>
      <c r="C78" s="42" t="s">
        <v>331</v>
      </c>
      <c r="D78" s="43" t="s">
        <v>327</v>
      </c>
      <c r="E78" s="47">
        <v>1.6</v>
      </c>
      <c r="F78" s="41"/>
      <c r="G78" s="47">
        <f>SmtRes!CX10</f>
        <v>4.48E-2</v>
      </c>
      <c r="H78" s="48"/>
      <c r="I78" s="46"/>
      <c r="J78" s="48">
        <f>SmtRes!CZ10</f>
        <v>557.94000000000005</v>
      </c>
      <c r="K78" s="42"/>
      <c r="L78" s="48">
        <f>SmtRes!DG10</f>
        <v>25</v>
      </c>
    </row>
    <row r="79" spans="1:83" ht="28.5">
      <c r="A79" s="42"/>
      <c r="B79" s="42" t="s">
        <v>332</v>
      </c>
      <c r="C79" s="42" t="s">
        <v>486</v>
      </c>
      <c r="D79" s="43" t="s">
        <v>321</v>
      </c>
      <c r="E79" s="47">
        <f>SmtRes!DO10*SmtRes!AT10</f>
        <v>1.6</v>
      </c>
      <c r="F79" s="41"/>
      <c r="G79" s="47">
        <f>SmtRes!DO10*SmtRes!CX10</f>
        <v>4.48E-2</v>
      </c>
      <c r="H79" s="48"/>
      <c r="I79" s="46"/>
      <c r="J79" s="48">
        <f>ROUND(SmtRes!AG10/SmtRes!DO10, 2)</f>
        <v>303.11</v>
      </c>
      <c r="K79" s="42"/>
      <c r="L79" s="48">
        <f>SmtRes!DH10</f>
        <v>13.58</v>
      </c>
      <c r="CE79">
        <v>1</v>
      </c>
    </row>
    <row r="80" spans="1:83" ht="42.75">
      <c r="A80" s="42"/>
      <c r="B80" s="42" t="s">
        <v>338</v>
      </c>
      <c r="C80" s="42" t="s">
        <v>340</v>
      </c>
      <c r="D80" s="43" t="s">
        <v>327</v>
      </c>
      <c r="E80" s="47">
        <v>13.07</v>
      </c>
      <c r="F80" s="41"/>
      <c r="G80" s="47">
        <f>SmtRes!CX11</f>
        <v>0.36596000000000001</v>
      </c>
      <c r="H80" s="48"/>
      <c r="I80" s="46"/>
      <c r="J80" s="48">
        <f>SmtRes!CZ11</f>
        <v>17.78</v>
      </c>
      <c r="K80" s="42"/>
      <c r="L80" s="48">
        <f>SmtRes!DG11</f>
        <v>6.51</v>
      </c>
    </row>
    <row r="81" spans="1:82" ht="15">
      <c r="A81" s="41"/>
      <c r="B81" s="45">
        <v>4</v>
      </c>
      <c r="C81" s="41" t="s">
        <v>488</v>
      </c>
      <c r="D81" s="43"/>
      <c r="E81" s="47"/>
      <c r="F81" s="45"/>
      <c r="G81" s="47"/>
      <c r="H81" s="45"/>
      <c r="I81" s="45"/>
      <c r="J81" s="45"/>
      <c r="K81" s="45"/>
      <c r="L81" s="49">
        <f>SUM(L82:L87)-SUMIF(CE82:CE87, 1, L82:L87)</f>
        <v>0</v>
      </c>
    </row>
    <row r="82" spans="1:82" ht="57">
      <c r="A82" s="42"/>
      <c r="B82" s="42" t="s">
        <v>341</v>
      </c>
      <c r="C82" s="42" t="s">
        <v>343</v>
      </c>
      <c r="D82" s="43" t="s">
        <v>344</v>
      </c>
      <c r="E82" s="47">
        <v>4.2</v>
      </c>
      <c r="F82" s="41">
        <f t="shared" ref="F82:F87" si="0">ROUND(0,7)</f>
        <v>0</v>
      </c>
      <c r="G82" s="47">
        <f>SmtRes!CX12</f>
        <v>0</v>
      </c>
      <c r="H82" s="48">
        <f>SmtRes!CZ12</f>
        <v>155.63</v>
      </c>
      <c r="I82" s="46">
        <f>SmtRes!AI12</f>
        <v>1.03</v>
      </c>
      <c r="J82" s="48">
        <f>ROUND(H82*I82, 2)</f>
        <v>160.30000000000001</v>
      </c>
      <c r="K82" s="42"/>
      <c r="L82" s="48">
        <f>SmtRes!DF12</f>
        <v>0</v>
      </c>
    </row>
    <row r="83" spans="1:82" ht="28.5">
      <c r="A83" s="42"/>
      <c r="B83" s="42" t="s">
        <v>345</v>
      </c>
      <c r="C83" s="42" t="s">
        <v>347</v>
      </c>
      <c r="D83" s="43" t="s">
        <v>344</v>
      </c>
      <c r="E83" s="47">
        <v>27</v>
      </c>
      <c r="F83" s="41">
        <f t="shared" si="0"/>
        <v>0</v>
      </c>
      <c r="G83" s="47">
        <f>SmtRes!CX13</f>
        <v>0</v>
      </c>
      <c r="H83" s="48">
        <f>SmtRes!CZ13</f>
        <v>174.93</v>
      </c>
      <c r="I83" s="46">
        <f>SmtRes!AI13</f>
        <v>1.1100000000000001</v>
      </c>
      <c r="J83" s="48">
        <f>ROUND(H83*I83, 2)</f>
        <v>194.17</v>
      </c>
      <c r="K83" s="42"/>
      <c r="L83" s="48">
        <f>SmtRes!DF13</f>
        <v>0</v>
      </c>
    </row>
    <row r="84" spans="1:82" ht="14.25">
      <c r="A84" s="42"/>
      <c r="B84" s="42" t="s">
        <v>348</v>
      </c>
      <c r="C84" s="42" t="s">
        <v>350</v>
      </c>
      <c r="D84" s="43" t="s">
        <v>44</v>
      </c>
      <c r="E84" s="47">
        <v>0.8</v>
      </c>
      <c r="F84" s="41">
        <f t="shared" si="0"/>
        <v>0</v>
      </c>
      <c r="G84" s="47">
        <f>SmtRes!CX14</f>
        <v>0</v>
      </c>
      <c r="H84" s="48">
        <f>SmtRes!CZ14</f>
        <v>237.77</v>
      </c>
      <c r="I84" s="46">
        <f>SmtRes!AI14</f>
        <v>1.1599999999999999</v>
      </c>
      <c r="J84" s="48">
        <f>ROUND(H84*I84, 2)</f>
        <v>275.81</v>
      </c>
      <c r="K84" s="42"/>
      <c r="L84" s="48">
        <f>SmtRes!DF14</f>
        <v>0</v>
      </c>
    </row>
    <row r="85" spans="1:82" ht="28.5">
      <c r="A85" s="42"/>
      <c r="B85" s="42" t="s">
        <v>351</v>
      </c>
      <c r="C85" s="42" t="s">
        <v>353</v>
      </c>
      <c r="D85" s="43" t="s">
        <v>354</v>
      </c>
      <c r="E85" s="47">
        <v>0.15</v>
      </c>
      <c r="F85" s="41">
        <f t="shared" si="0"/>
        <v>0</v>
      </c>
      <c r="G85" s="47">
        <f>SmtRes!CX15</f>
        <v>0</v>
      </c>
      <c r="H85" s="48">
        <f>SmtRes!CZ15</f>
        <v>565.20000000000005</v>
      </c>
      <c r="I85" s="46">
        <f>SmtRes!AI15</f>
        <v>1.61</v>
      </c>
      <c r="J85" s="48">
        <f>ROUND(H85*I85, 2)</f>
        <v>909.97</v>
      </c>
      <c r="K85" s="42"/>
      <c r="L85" s="48">
        <f>SmtRes!DF15</f>
        <v>0</v>
      </c>
    </row>
    <row r="86" spans="1:82" ht="42.75">
      <c r="A86" s="42"/>
      <c r="B86" s="42" t="s">
        <v>355</v>
      </c>
      <c r="C86" s="42" t="s">
        <v>357</v>
      </c>
      <c r="D86" s="43" t="s">
        <v>37</v>
      </c>
      <c r="E86" s="47">
        <v>0.18</v>
      </c>
      <c r="F86" s="41">
        <f t="shared" si="0"/>
        <v>0</v>
      </c>
      <c r="G86" s="47">
        <f>SmtRes!CX16</f>
        <v>0</v>
      </c>
      <c r="H86" s="48"/>
      <c r="I86" s="46"/>
      <c r="J86" s="48">
        <f>SmtRes!CZ16</f>
        <v>6746.26</v>
      </c>
      <c r="K86" s="42"/>
      <c r="L86" s="48">
        <f>SmtRes!DF16</f>
        <v>0</v>
      </c>
    </row>
    <row r="87" spans="1:82" ht="42.75">
      <c r="A87" s="42"/>
      <c r="B87" s="42" t="s">
        <v>358</v>
      </c>
      <c r="C87" s="50" t="s">
        <v>360</v>
      </c>
      <c r="D87" s="51" t="s">
        <v>37</v>
      </c>
      <c r="E87" s="52">
        <v>1</v>
      </c>
      <c r="F87" s="53">
        <f t="shared" si="0"/>
        <v>0</v>
      </c>
      <c r="G87" s="52">
        <f>SmtRes!CX17</f>
        <v>0</v>
      </c>
      <c r="H87" s="54">
        <f>SmtRes!CZ17</f>
        <v>105278.81</v>
      </c>
      <c r="I87" s="55">
        <f>SmtRes!AI17</f>
        <v>1.1100000000000001</v>
      </c>
      <c r="J87" s="54">
        <f>ROUND(H87*I87, 2)</f>
        <v>116859.48</v>
      </c>
      <c r="K87" s="50"/>
      <c r="L87" s="54">
        <f>SmtRes!DF17</f>
        <v>0</v>
      </c>
    </row>
    <row r="88" spans="1:82" ht="15">
      <c r="A88" s="42"/>
      <c r="B88" s="42"/>
      <c r="C88" s="58" t="s">
        <v>489</v>
      </c>
      <c r="D88" s="43"/>
      <c r="E88" s="47"/>
      <c r="F88" s="41"/>
      <c r="G88" s="47"/>
      <c r="H88" s="48"/>
      <c r="I88" s="46"/>
      <c r="J88" s="48"/>
      <c r="K88" s="42"/>
      <c r="L88" s="48">
        <f>L72+L74+L75+L81</f>
        <v>582.88000000000011</v>
      </c>
    </row>
    <row r="89" spans="1:82" ht="57">
      <c r="A89" s="40" t="s">
        <v>498</v>
      </c>
      <c r="B89" s="42" t="str">
        <f>Source!F31</f>
        <v>421/пр_2020_п.75_пп.а</v>
      </c>
      <c r="C89" s="42" t="str">
        <f>Source!G31</f>
        <v>Сметная стоимость вспомогательных ненормируемых материальных ресурсов, не учтенная в сметной норме, 2%</v>
      </c>
      <c r="D89" s="43" t="str">
        <f>Source!H31</f>
        <v>%</v>
      </c>
      <c r="E89" s="47">
        <f>SmtRes!AT18</f>
        <v>2</v>
      </c>
      <c r="F89" s="41"/>
      <c r="G89" s="47">
        <f>Source!I31</f>
        <v>2</v>
      </c>
      <c r="H89" s="48"/>
      <c r="I89" s="46"/>
      <c r="J89" s="48"/>
      <c r="K89" s="42"/>
      <c r="L89" s="48">
        <f>Source!P31</f>
        <v>9.1</v>
      </c>
      <c r="AD89">
        <f>ROUND((Source!AT31/100)*((ROUND(0*Source!I31, 2)+ROUND(0*Source!I31, 2))), 2)</f>
        <v>0</v>
      </c>
      <c r="AE89">
        <f>ROUND((Source!AU31/100)*((ROUND(0*Source!I31, 2)+ROUND(0*Source!I31, 2))), 2)</f>
        <v>0</v>
      </c>
      <c r="AN89">
        <f>L89</f>
        <v>9.1</v>
      </c>
      <c r="AW89">
        <f>L89</f>
        <v>9.1</v>
      </c>
      <c r="AZ89">
        <f>Source!X31</f>
        <v>0</v>
      </c>
      <c r="BA89">
        <f>Source!Y31</f>
        <v>0</v>
      </c>
      <c r="CD89">
        <v>4</v>
      </c>
    </row>
    <row r="90" spans="1:82" ht="14.25">
      <c r="A90" s="42"/>
      <c r="B90" s="42"/>
      <c r="C90" s="42" t="s">
        <v>491</v>
      </c>
      <c r="D90" s="43"/>
      <c r="E90" s="47"/>
      <c r="F90" s="41"/>
      <c r="G90" s="47"/>
      <c r="H90" s="48"/>
      <c r="I90" s="46"/>
      <c r="J90" s="48"/>
      <c r="K90" s="42"/>
      <c r="L90" s="48">
        <f>SUM(AR71:AR93)+SUM(AS71:AS93)+SUM(AT71:AT93)+SUM(AU71:AU93)+SUM(AV71:AV93)</f>
        <v>486.73</v>
      </c>
    </row>
    <row r="91" spans="1:82" ht="28.5">
      <c r="A91" s="42"/>
      <c r="B91" s="42" t="s">
        <v>25</v>
      </c>
      <c r="C91" s="42" t="s">
        <v>492</v>
      </c>
      <c r="D91" s="43" t="s">
        <v>30</v>
      </c>
      <c r="E91" s="47">
        <f>Source!BZ30</f>
        <v>97</v>
      </c>
      <c r="F91" s="41"/>
      <c r="G91" s="47">
        <f>Source!AT30</f>
        <v>97</v>
      </c>
      <c r="H91" s="48"/>
      <c r="I91" s="46"/>
      <c r="J91" s="48"/>
      <c r="K91" s="42"/>
      <c r="L91" s="48">
        <f>SUM(AZ71:AZ93)</f>
        <v>472.13</v>
      </c>
    </row>
    <row r="92" spans="1:82" ht="28.5">
      <c r="A92" s="50"/>
      <c r="B92" s="50" t="s">
        <v>26</v>
      </c>
      <c r="C92" s="50" t="s">
        <v>493</v>
      </c>
      <c r="D92" s="51" t="s">
        <v>30</v>
      </c>
      <c r="E92" s="52">
        <f>Source!CA30</f>
        <v>51</v>
      </c>
      <c r="F92" s="53"/>
      <c r="G92" s="52">
        <f>Source!AU30</f>
        <v>51</v>
      </c>
      <c r="H92" s="54"/>
      <c r="I92" s="55"/>
      <c r="J92" s="54"/>
      <c r="K92" s="50"/>
      <c r="L92" s="54">
        <f>SUM(BA71:BA93)</f>
        <v>248.23</v>
      </c>
    </row>
    <row r="93" spans="1:82" ht="15">
      <c r="C93" s="111" t="s">
        <v>494</v>
      </c>
      <c r="D93" s="111"/>
      <c r="E93" s="111"/>
      <c r="F93" s="111"/>
      <c r="G93" s="111"/>
      <c r="H93" s="111"/>
      <c r="I93" s="112">
        <f>K93/E71</f>
        <v>46869.28571428571</v>
      </c>
      <c r="J93" s="112"/>
      <c r="K93" s="112">
        <f>L72+L74+L81+L91+L92+L75+SUM(L89:L89)</f>
        <v>1312.34</v>
      </c>
      <c r="L93" s="112"/>
      <c r="AD93">
        <f>ROUND((Source!AT30/100)*((ROUND(SUMIF(SmtRes!AQ7:'SmtRes'!AQ18,"=1",SmtRes!AD7:'SmtRes'!AD18)*Source!I30, 2)+ROUND(SUMIF(SmtRes!AQ7:'SmtRes'!AQ18,"=1",SmtRes!AC7:'SmtRes'!AC18)*Source!I30, 2))), 2)</f>
        <v>27.53</v>
      </c>
      <c r="AE93">
        <f>ROUND((Source!AU30/100)*((ROUND(SUMIF(SmtRes!AQ7:'SmtRes'!AQ18,"=1",SmtRes!AD7:'SmtRes'!AD18)*Source!I30, 2)+ROUND(SUMIF(SmtRes!AQ7:'SmtRes'!AQ18,"=1",SmtRes!AC7:'SmtRes'!AC18)*Source!I30, 2))), 2)</f>
        <v>14.47</v>
      </c>
      <c r="AN93" s="56">
        <f>L72+L74+L81+L91+L92+L75</f>
        <v>1303.24</v>
      </c>
      <c r="AO93" s="56">
        <f>L74</f>
        <v>96.149999999999991</v>
      </c>
      <c r="AQ93" t="s">
        <v>495</v>
      </c>
      <c r="AR93" s="56">
        <f>L72</f>
        <v>454.91</v>
      </c>
      <c r="AT93" s="56">
        <f>L75</f>
        <v>31.82</v>
      </c>
      <c r="AV93" t="s">
        <v>495</v>
      </c>
      <c r="AW93" s="56">
        <f>L81</f>
        <v>0</v>
      </c>
      <c r="AZ93">
        <f>Source!X30</f>
        <v>472.13</v>
      </c>
      <c r="BA93">
        <f>Source!Y30</f>
        <v>248.23</v>
      </c>
      <c r="CD93">
        <v>2</v>
      </c>
    </row>
    <row r="94" spans="1:82" ht="42.75">
      <c r="A94" s="40" t="s">
        <v>41</v>
      </c>
      <c r="B94" s="42" t="s">
        <v>499</v>
      </c>
      <c r="C94" s="42" t="str">
        <f>Source!G32</f>
        <v>Присоединение к зажимам жил проводов или кабелей сечением: до 16 мм2</v>
      </c>
      <c r="D94" s="43" t="str">
        <f>Source!H32</f>
        <v>100 ШТ</v>
      </c>
      <c r="E94" s="47">
        <f>Source!K32</f>
        <v>7.48</v>
      </c>
      <c r="F94" s="41"/>
      <c r="G94" s="47">
        <f>Source!I32</f>
        <v>7.48</v>
      </c>
      <c r="H94" s="48"/>
      <c r="I94" s="46"/>
      <c r="J94" s="48"/>
      <c r="K94" s="42"/>
      <c r="L94" s="48"/>
    </row>
    <row r="95" spans="1:82">
      <c r="C95" s="60" t="str">
        <f>"Объем: "&amp;Source!I32&amp;"=748/"&amp;"100"</f>
        <v>Объем: 7,48=748/100</v>
      </c>
    </row>
    <row r="96" spans="1:82" ht="15">
      <c r="A96" s="41"/>
      <c r="B96" s="45">
        <v>1</v>
      </c>
      <c r="C96" s="41" t="s">
        <v>483</v>
      </c>
      <c r="D96" s="43" t="s">
        <v>321</v>
      </c>
      <c r="E96" s="47"/>
      <c r="F96" s="45"/>
      <c r="G96" s="47">
        <f>Source!U32</f>
        <v>90.956800000000001</v>
      </c>
      <c r="H96" s="45"/>
      <c r="I96" s="45"/>
      <c r="J96" s="45"/>
      <c r="K96" s="45"/>
      <c r="L96" s="49">
        <f>SUM(L97:L97)-SUMIF(CE97:CE97, 1, L97:L97)</f>
        <v>26952.32</v>
      </c>
    </row>
    <row r="97" spans="1:82" ht="28.5">
      <c r="A97" s="42"/>
      <c r="B97" s="42" t="s">
        <v>361</v>
      </c>
      <c r="C97" s="50" t="s">
        <v>362</v>
      </c>
      <c r="D97" s="51" t="s">
        <v>321</v>
      </c>
      <c r="E97" s="52">
        <v>12.16</v>
      </c>
      <c r="F97" s="53"/>
      <c r="G97" s="52">
        <f>SmtRes!CX19</f>
        <v>90.956800000000001</v>
      </c>
      <c r="H97" s="54"/>
      <c r="I97" s="55"/>
      <c r="J97" s="54">
        <f>SmtRes!CZ19</f>
        <v>296.32</v>
      </c>
      <c r="K97" s="50"/>
      <c r="L97" s="54">
        <f>SmtRes!DI19</f>
        <v>26952.32</v>
      </c>
    </row>
    <row r="98" spans="1:82" ht="15">
      <c r="A98" s="42"/>
      <c r="B98" s="42"/>
      <c r="C98" s="58" t="s">
        <v>489</v>
      </c>
      <c r="D98" s="43"/>
      <c r="E98" s="47"/>
      <c r="F98" s="41"/>
      <c r="G98" s="47"/>
      <c r="H98" s="48"/>
      <c r="I98" s="46"/>
      <c r="J98" s="48"/>
      <c r="K98" s="42"/>
      <c r="L98" s="48">
        <f>L96</f>
        <v>26952.32</v>
      </c>
    </row>
    <row r="99" spans="1:82" ht="57">
      <c r="A99" s="40" t="s">
        <v>500</v>
      </c>
      <c r="B99" s="42" t="str">
        <f>Source!F33</f>
        <v>421/пр_2020_п.75_пп.а</v>
      </c>
      <c r="C99" s="42" t="str">
        <f>Source!G33</f>
        <v>Сметная стоимость вспомогательных ненормируемых материальных ресурсов, не учтенная в сметной норме, 2%</v>
      </c>
      <c r="D99" s="43" t="str">
        <f>Source!H33</f>
        <v>%</v>
      </c>
      <c r="E99" s="47">
        <f>SmtRes!AT20</f>
        <v>2</v>
      </c>
      <c r="F99" s="41"/>
      <c r="G99" s="47">
        <f>Source!I33</f>
        <v>2</v>
      </c>
      <c r="H99" s="48"/>
      <c r="I99" s="46"/>
      <c r="J99" s="48"/>
      <c r="K99" s="42"/>
      <c r="L99" s="48">
        <f>Source!P33</f>
        <v>539.04999999999995</v>
      </c>
      <c r="AD99">
        <f>ROUND((Source!AT33/100)*((ROUND(0*Source!I33, 2)+ROUND(0*Source!I33, 2))), 2)</f>
        <v>0</v>
      </c>
      <c r="AE99">
        <f>ROUND((Source!AU33/100)*((ROUND(0*Source!I33, 2)+ROUND(0*Source!I33, 2))), 2)</f>
        <v>0</v>
      </c>
      <c r="AN99">
        <f>L99</f>
        <v>539.04999999999995</v>
      </c>
      <c r="AW99">
        <f>L99</f>
        <v>539.04999999999995</v>
      </c>
      <c r="AZ99">
        <f>Source!X33</f>
        <v>0</v>
      </c>
      <c r="BA99">
        <f>Source!Y33</f>
        <v>0</v>
      </c>
      <c r="CD99">
        <v>4</v>
      </c>
    </row>
    <row r="100" spans="1:82" ht="14.25">
      <c r="A100" s="42"/>
      <c r="B100" s="42"/>
      <c r="C100" s="42" t="s">
        <v>491</v>
      </c>
      <c r="D100" s="43"/>
      <c r="E100" s="47"/>
      <c r="F100" s="41"/>
      <c r="G100" s="47"/>
      <c r="H100" s="48"/>
      <c r="I100" s="46"/>
      <c r="J100" s="48"/>
      <c r="K100" s="42"/>
      <c r="L100" s="48">
        <f>SUM(AR94:AR103)+SUM(AS94:AS103)+SUM(AT94:AT103)+SUM(AU94:AU103)+SUM(AV94:AV103)</f>
        <v>26952.32</v>
      </c>
    </row>
    <row r="101" spans="1:82" ht="28.5">
      <c r="A101" s="42"/>
      <c r="B101" s="42" t="s">
        <v>25</v>
      </c>
      <c r="C101" s="42" t="s">
        <v>492</v>
      </c>
      <c r="D101" s="43" t="s">
        <v>30</v>
      </c>
      <c r="E101" s="47">
        <f>Source!BZ32</f>
        <v>97</v>
      </c>
      <c r="F101" s="41"/>
      <c r="G101" s="47">
        <f>Source!AT32</f>
        <v>97</v>
      </c>
      <c r="H101" s="48"/>
      <c r="I101" s="46"/>
      <c r="J101" s="48"/>
      <c r="K101" s="42"/>
      <c r="L101" s="48">
        <f>SUM(AZ94:AZ103)</f>
        <v>26143.75</v>
      </c>
    </row>
    <row r="102" spans="1:82" ht="28.5">
      <c r="A102" s="50"/>
      <c r="B102" s="50" t="s">
        <v>26</v>
      </c>
      <c r="C102" s="50" t="s">
        <v>493</v>
      </c>
      <c r="D102" s="51" t="s">
        <v>30</v>
      </c>
      <c r="E102" s="52">
        <f>Source!CA32</f>
        <v>51</v>
      </c>
      <c r="F102" s="53"/>
      <c r="G102" s="52">
        <f>Source!AU32</f>
        <v>51</v>
      </c>
      <c r="H102" s="54"/>
      <c r="I102" s="55"/>
      <c r="J102" s="54"/>
      <c r="K102" s="50"/>
      <c r="L102" s="54">
        <f>SUM(BA94:BA103)</f>
        <v>13745.68</v>
      </c>
    </row>
    <row r="103" spans="1:82" ht="15">
      <c r="C103" s="111" t="s">
        <v>494</v>
      </c>
      <c r="D103" s="111"/>
      <c r="E103" s="111"/>
      <c r="F103" s="111"/>
      <c r="G103" s="111"/>
      <c r="H103" s="111"/>
      <c r="I103" s="112">
        <f>K103/E94</f>
        <v>9008.1283422459892</v>
      </c>
      <c r="J103" s="112"/>
      <c r="K103" s="112">
        <f>L96+L101+L102+SUM(L99:L99)</f>
        <v>67380.800000000003</v>
      </c>
      <c r="L103" s="112"/>
      <c r="AD103">
        <f>ROUND((Source!AT32/100)*((ROUND(SUMIF(SmtRes!AQ19:'SmtRes'!AQ20,"=1",SmtRes!AD19:'SmtRes'!AD20)*Source!I32, 2)+ROUND(SUMIF(SmtRes!AQ19:'SmtRes'!AQ20,"=1",SmtRes!AC19:'SmtRes'!AC20)*Source!I32, 2))), 2)</f>
        <v>2149.98</v>
      </c>
      <c r="AE103">
        <f>ROUND((Source!AU32/100)*((ROUND(SUMIF(SmtRes!AQ19:'SmtRes'!AQ20,"=1",SmtRes!AD19:'SmtRes'!AD20)*Source!I32, 2)+ROUND(SUMIF(SmtRes!AQ19:'SmtRes'!AQ20,"=1",SmtRes!AC19:'SmtRes'!AC20)*Source!I32, 2))), 2)</f>
        <v>1130.4000000000001</v>
      </c>
      <c r="AN103" s="56">
        <f>L96+L101+L102</f>
        <v>66841.75</v>
      </c>
      <c r="AO103">
        <f>0</f>
        <v>0</v>
      </c>
      <c r="AQ103" t="s">
        <v>495</v>
      </c>
      <c r="AR103" s="56">
        <f>L96</f>
        <v>26952.32</v>
      </c>
      <c r="AT103">
        <f>0</f>
        <v>0</v>
      </c>
      <c r="AV103" t="s">
        <v>495</v>
      </c>
      <c r="AW103">
        <f>0</f>
        <v>0</v>
      </c>
      <c r="AZ103">
        <f>Source!X32</f>
        <v>26143.75</v>
      </c>
      <c r="BA103">
        <f>Source!Y32</f>
        <v>13745.68</v>
      </c>
      <c r="CD103">
        <v>2</v>
      </c>
    </row>
    <row r="105" spans="1:82" ht="15">
      <c r="A105" s="62"/>
      <c r="B105" s="63"/>
      <c r="C105" s="129" t="s">
        <v>501</v>
      </c>
      <c r="D105" s="129"/>
      <c r="E105" s="129"/>
      <c r="F105" s="129"/>
      <c r="G105" s="129"/>
      <c r="H105" s="129"/>
      <c r="I105" s="49"/>
      <c r="J105" s="62"/>
      <c r="K105" s="64"/>
      <c r="L105" s="49">
        <f>L107+L108+L114+L118</f>
        <v>50653.74</v>
      </c>
    </row>
    <row r="106" spans="1:82" ht="14.25">
      <c r="A106" s="59"/>
      <c r="B106" s="61"/>
      <c r="C106" s="128" t="s">
        <v>502</v>
      </c>
      <c r="D106" s="127"/>
      <c r="E106" s="127"/>
      <c r="F106" s="127"/>
      <c r="G106" s="127"/>
      <c r="H106" s="127"/>
      <c r="I106" s="48"/>
      <c r="J106" s="59"/>
      <c r="K106" s="45"/>
      <c r="L106" s="48"/>
    </row>
    <row r="107" spans="1:82" ht="14.25">
      <c r="A107" s="59"/>
      <c r="B107" s="61"/>
      <c r="C107" s="127" t="s">
        <v>503</v>
      </c>
      <c r="D107" s="127"/>
      <c r="E107" s="127"/>
      <c r="F107" s="127"/>
      <c r="G107" s="127"/>
      <c r="H107" s="127"/>
      <c r="I107" s="48"/>
      <c r="J107" s="59"/>
      <c r="K107" s="45"/>
      <c r="L107" s="48">
        <f>SUM(AR53:AR103)</f>
        <v>43751.93</v>
      </c>
    </row>
    <row r="108" spans="1:82" ht="14.25" hidden="1">
      <c r="A108" s="59"/>
      <c r="B108" s="61"/>
      <c r="C108" s="127" t="s">
        <v>504</v>
      </c>
      <c r="D108" s="127"/>
      <c r="E108" s="127"/>
      <c r="F108" s="127"/>
      <c r="G108" s="127"/>
      <c r="H108" s="127"/>
      <c r="I108" s="48"/>
      <c r="J108" s="59"/>
      <c r="K108" s="45"/>
      <c r="L108" s="48">
        <f>L110+L113+L112</f>
        <v>5197.66</v>
      </c>
    </row>
    <row r="109" spans="1:82" ht="14.25" hidden="1">
      <c r="A109" s="59"/>
      <c r="B109" s="61"/>
      <c r="C109" s="128" t="s">
        <v>505</v>
      </c>
      <c r="D109" s="127"/>
      <c r="E109" s="127"/>
      <c r="F109" s="127"/>
      <c r="G109" s="127"/>
      <c r="H109" s="127"/>
      <c r="I109" s="48"/>
      <c r="J109" s="59"/>
      <c r="K109" s="45"/>
      <c r="L109" s="48"/>
    </row>
    <row r="110" spans="1:82" ht="14.25">
      <c r="A110" s="59"/>
      <c r="B110" s="61"/>
      <c r="C110" s="127" t="s">
        <v>504</v>
      </c>
      <c r="D110" s="127"/>
      <c r="E110" s="127"/>
      <c r="F110" s="127"/>
      <c r="G110" s="127"/>
      <c r="H110" s="127"/>
      <c r="I110" s="48"/>
      <c r="J110" s="59"/>
      <c r="K110" s="45"/>
      <c r="L110" s="48">
        <f>SUM(AO53:AO103)</f>
        <v>3837.6299999999997</v>
      </c>
    </row>
    <row r="111" spans="1:82" ht="14.25" hidden="1">
      <c r="A111" s="59"/>
      <c r="B111" s="61"/>
      <c r="C111" s="128" t="s">
        <v>506</v>
      </c>
      <c r="D111" s="127"/>
      <c r="E111" s="127"/>
      <c r="F111" s="127"/>
      <c r="G111" s="127"/>
      <c r="H111" s="127"/>
      <c r="I111" s="48"/>
      <c r="J111" s="59"/>
      <c r="K111" s="45"/>
      <c r="L111" s="48"/>
    </row>
    <row r="112" spans="1:82" ht="14.25">
      <c r="A112" s="59"/>
      <c r="B112" s="61"/>
      <c r="C112" s="127" t="s">
        <v>526</v>
      </c>
      <c r="D112" s="127"/>
      <c r="E112" s="127"/>
      <c r="F112" s="127"/>
      <c r="G112" s="127"/>
      <c r="H112" s="127"/>
      <c r="I112" s="48"/>
      <c r="J112" s="59"/>
      <c r="K112" s="45"/>
      <c r="L112" s="48">
        <f>SUM(AT53:AT103)</f>
        <v>1360.03</v>
      </c>
    </row>
    <row r="113" spans="1:12" ht="14.25" hidden="1">
      <c r="A113" s="59"/>
      <c r="B113" s="61"/>
      <c r="C113" s="127" t="s">
        <v>507</v>
      </c>
      <c r="D113" s="127"/>
      <c r="E113" s="127"/>
      <c r="F113" s="127"/>
      <c r="G113" s="127"/>
      <c r="H113" s="127"/>
      <c r="I113" s="48"/>
      <c r="J113" s="59"/>
      <c r="K113" s="45"/>
      <c r="L113" s="48">
        <f>SUM(AV53:AV103)</f>
        <v>0</v>
      </c>
    </row>
    <row r="114" spans="1:12" ht="14.25">
      <c r="A114" s="59"/>
      <c r="B114" s="61"/>
      <c r="C114" s="127" t="s">
        <v>508</v>
      </c>
      <c r="D114" s="127"/>
      <c r="E114" s="127"/>
      <c r="F114" s="127"/>
      <c r="G114" s="127"/>
      <c r="H114" s="127"/>
      <c r="I114" s="48"/>
      <c r="J114" s="59"/>
      <c r="K114" s="45"/>
      <c r="L114" s="48">
        <f>L116+L117</f>
        <v>1704.1499999999999</v>
      </c>
    </row>
    <row r="115" spans="1:12" ht="14.25">
      <c r="A115" s="59"/>
      <c r="B115" s="61"/>
      <c r="C115" s="128" t="s">
        <v>505</v>
      </c>
      <c r="D115" s="127"/>
      <c r="E115" s="127"/>
      <c r="F115" s="127"/>
      <c r="G115" s="127"/>
      <c r="H115" s="127"/>
      <c r="I115" s="48"/>
      <c r="J115" s="59"/>
      <c r="K115" s="45"/>
      <c r="L115" s="48"/>
    </row>
    <row r="116" spans="1:12" ht="14.25">
      <c r="A116" s="59"/>
      <c r="B116" s="61"/>
      <c r="C116" s="127" t="s">
        <v>509</v>
      </c>
      <c r="D116" s="127"/>
      <c r="E116" s="127"/>
      <c r="F116" s="127"/>
      <c r="G116" s="127"/>
      <c r="H116" s="127"/>
      <c r="I116" s="48"/>
      <c r="J116" s="59"/>
      <c r="K116" s="45"/>
      <c r="L116" s="48">
        <f>SUM(AW53:AW103)-SUM(BK53:BK103)</f>
        <v>1704.1499999999999</v>
      </c>
    </row>
    <row r="117" spans="1:12" ht="14.25" hidden="1">
      <c r="A117" s="59"/>
      <c r="B117" s="61"/>
      <c r="C117" s="127" t="s">
        <v>510</v>
      </c>
      <c r="D117" s="127"/>
      <c r="E117" s="127"/>
      <c r="F117" s="127"/>
      <c r="G117" s="127"/>
      <c r="H117" s="127"/>
      <c r="I117" s="48"/>
      <c r="J117" s="59"/>
      <c r="K117" s="45"/>
      <c r="L117" s="48">
        <f>SUM(BC53:BC103)</f>
        <v>0</v>
      </c>
    </row>
    <row r="118" spans="1:12" ht="14.25" hidden="1">
      <c r="A118" s="59"/>
      <c r="B118" s="61"/>
      <c r="C118" s="127" t="s">
        <v>511</v>
      </c>
      <c r="D118" s="127"/>
      <c r="E118" s="127"/>
      <c r="F118" s="127"/>
      <c r="G118" s="127"/>
      <c r="H118" s="127"/>
      <c r="I118" s="48"/>
      <c r="J118" s="59"/>
      <c r="K118" s="45"/>
      <c r="L118" s="48">
        <f>SUM(BB53:BB103)</f>
        <v>0</v>
      </c>
    </row>
    <row r="119" spans="1:12" ht="14.25">
      <c r="A119" s="59"/>
      <c r="B119" s="61"/>
      <c r="C119" s="127" t="s">
        <v>512</v>
      </c>
      <c r="D119" s="127"/>
      <c r="E119" s="127"/>
      <c r="F119" s="127"/>
      <c r="G119" s="127"/>
      <c r="H119" s="127"/>
      <c r="I119" s="48"/>
      <c r="J119" s="59"/>
      <c r="K119" s="45"/>
      <c r="L119" s="48">
        <f>SUM(AR53:AR103)+SUM(AT53:AT103)+SUM(AV53:AV103)</f>
        <v>45111.96</v>
      </c>
    </row>
    <row r="120" spans="1:12" ht="14.25">
      <c r="A120" s="59"/>
      <c r="B120" s="61"/>
      <c r="C120" s="127" t="s">
        <v>513</v>
      </c>
      <c r="D120" s="127"/>
      <c r="E120" s="127"/>
      <c r="F120" s="127"/>
      <c r="G120" s="127"/>
      <c r="H120" s="127"/>
      <c r="I120" s="48"/>
      <c r="J120" s="59"/>
      <c r="K120" s="45"/>
      <c r="L120" s="48">
        <f>SUM(AZ53:AZ103)</f>
        <v>43758.600000000006</v>
      </c>
    </row>
    <row r="121" spans="1:12" ht="14.25">
      <c r="A121" s="59"/>
      <c r="B121" s="61"/>
      <c r="C121" s="127" t="s">
        <v>514</v>
      </c>
      <c r="D121" s="127"/>
      <c r="E121" s="127"/>
      <c r="F121" s="127"/>
      <c r="G121" s="127"/>
      <c r="H121" s="127"/>
      <c r="I121" s="48"/>
      <c r="J121" s="59"/>
      <c r="K121" s="45"/>
      <c r="L121" s="48">
        <f>SUM(BA53:BA103)</f>
        <v>23007.09</v>
      </c>
    </row>
    <row r="122" spans="1:12" ht="14.25" hidden="1">
      <c r="A122" s="59"/>
      <c r="B122" s="61"/>
      <c r="C122" s="127" t="s">
        <v>515</v>
      </c>
      <c r="D122" s="127"/>
      <c r="E122" s="127"/>
      <c r="F122" s="127"/>
      <c r="G122" s="127"/>
      <c r="H122" s="127"/>
      <c r="I122" s="48"/>
      <c r="J122" s="59"/>
      <c r="K122" s="45"/>
      <c r="L122" s="48">
        <f>L124+L125</f>
        <v>0</v>
      </c>
    </row>
    <row r="123" spans="1:12" ht="14.25" hidden="1">
      <c r="A123" s="59"/>
      <c r="B123" s="61"/>
      <c r="C123" s="128" t="s">
        <v>502</v>
      </c>
      <c r="D123" s="127"/>
      <c r="E123" s="127"/>
      <c r="F123" s="127"/>
      <c r="G123" s="127"/>
      <c r="H123" s="127"/>
      <c r="I123" s="48"/>
      <c r="J123" s="59"/>
      <c r="K123" s="45"/>
      <c r="L123" s="48"/>
    </row>
    <row r="124" spans="1:12" ht="14.25" hidden="1">
      <c r="A124" s="59"/>
      <c r="B124" s="61"/>
      <c r="C124" s="127" t="s">
        <v>516</v>
      </c>
      <c r="D124" s="127"/>
      <c r="E124" s="127"/>
      <c r="F124" s="127"/>
      <c r="G124" s="127"/>
      <c r="H124" s="127"/>
      <c r="I124" s="48"/>
      <c r="J124" s="59"/>
      <c r="K124" s="45"/>
      <c r="L124" s="48">
        <f>SUM(BK53:BK103)</f>
        <v>0</v>
      </c>
    </row>
    <row r="125" spans="1:12" ht="14.25" hidden="1">
      <c r="A125" s="59"/>
      <c r="B125" s="61"/>
      <c r="C125" s="127" t="s">
        <v>517</v>
      </c>
      <c r="D125" s="127"/>
      <c r="E125" s="127"/>
      <c r="F125" s="127"/>
      <c r="G125" s="127"/>
      <c r="H125" s="127"/>
      <c r="I125" s="48"/>
      <c r="J125" s="59"/>
      <c r="K125" s="45"/>
      <c r="L125" s="48">
        <f>SUM(BD53:BD103)</f>
        <v>0</v>
      </c>
    </row>
    <row r="126" spans="1:12" ht="14.25" hidden="1">
      <c r="A126" s="59"/>
      <c r="B126" s="61"/>
      <c r="C126" s="127" t="s">
        <v>518</v>
      </c>
      <c r="D126" s="127"/>
      <c r="E126" s="127"/>
      <c r="F126" s="127"/>
      <c r="G126" s="127"/>
      <c r="H126" s="127"/>
      <c r="I126" s="48"/>
      <c r="J126" s="59"/>
      <c r="K126" s="45"/>
      <c r="L126" s="48"/>
    </row>
    <row r="127" spans="1:12" ht="14.25" hidden="1">
      <c r="A127" s="59"/>
      <c r="B127" s="61"/>
      <c r="C127" s="127" t="s">
        <v>519</v>
      </c>
      <c r="D127" s="127"/>
      <c r="E127" s="127"/>
      <c r="F127" s="127"/>
      <c r="G127" s="127"/>
      <c r="H127" s="127"/>
      <c r="I127" s="48"/>
      <c r="J127" s="59"/>
      <c r="K127" s="45"/>
      <c r="L127" s="48">
        <f>SUM(BO53:BO103)</f>
        <v>0</v>
      </c>
    </row>
    <row r="128" spans="1:12" ht="15">
      <c r="A128" s="62"/>
      <c r="B128" s="63"/>
      <c r="C128" s="129" t="s">
        <v>520</v>
      </c>
      <c r="D128" s="129"/>
      <c r="E128" s="129"/>
      <c r="F128" s="129"/>
      <c r="G128" s="129"/>
      <c r="H128" s="129"/>
      <c r="I128" s="49"/>
      <c r="J128" s="62"/>
      <c r="K128" s="64"/>
      <c r="L128" s="49">
        <f>L105+L120+L121+L122+L126+L127</f>
        <v>117419.43</v>
      </c>
    </row>
    <row r="129" spans="1:82" ht="14.25">
      <c r="A129" s="59"/>
      <c r="B129" s="61"/>
      <c r="C129" s="128" t="s">
        <v>521</v>
      </c>
      <c r="D129" s="127"/>
      <c r="E129" s="127"/>
      <c r="F129" s="127"/>
      <c r="G129" s="127"/>
      <c r="H129" s="127"/>
      <c r="I129" s="48"/>
      <c r="J129" s="59"/>
      <c r="K129" s="45"/>
      <c r="L129" s="48"/>
    </row>
    <row r="130" spans="1:82" ht="14.25" hidden="1">
      <c r="A130" s="59"/>
      <c r="B130" s="61"/>
      <c r="C130" s="127" t="s">
        <v>522</v>
      </c>
      <c r="D130" s="127"/>
      <c r="E130" s="127"/>
      <c r="F130" s="127"/>
      <c r="G130" s="127"/>
      <c r="H130" s="127"/>
      <c r="I130" s="48"/>
      <c r="J130" s="59"/>
      <c r="K130" s="45"/>
      <c r="L130" s="48">
        <f>SUM(AX53:AX103)</f>
        <v>0</v>
      </c>
    </row>
    <row r="131" spans="1:82" ht="14.25" hidden="1">
      <c r="A131" s="59"/>
      <c r="B131" s="61"/>
      <c r="C131" s="127" t="s">
        <v>523</v>
      </c>
      <c r="D131" s="127"/>
      <c r="E131" s="127"/>
      <c r="F131" s="127"/>
      <c r="G131" s="127"/>
      <c r="H131" s="127"/>
      <c r="I131" s="48"/>
      <c r="J131" s="59"/>
      <c r="K131" s="45"/>
      <c r="L131" s="48">
        <f>SUM(AY53:AY103)</f>
        <v>0</v>
      </c>
    </row>
    <row r="132" spans="1:82" ht="14.25">
      <c r="A132" s="59"/>
      <c r="B132" s="61"/>
      <c r="C132" s="127" t="s">
        <v>524</v>
      </c>
      <c r="D132" s="127"/>
      <c r="E132" s="127"/>
      <c r="F132" s="130"/>
      <c r="G132" s="47">
        <f>Source!F57</f>
        <v>144.8176</v>
      </c>
      <c r="H132" s="59"/>
      <c r="I132" s="59"/>
      <c r="J132" s="59"/>
      <c r="K132" s="59"/>
      <c r="L132" s="59"/>
    </row>
    <row r="133" spans="1:82" ht="14.25">
      <c r="A133" s="59"/>
      <c r="B133" s="61"/>
      <c r="C133" s="127" t="s">
        <v>525</v>
      </c>
      <c r="D133" s="127"/>
      <c r="E133" s="127"/>
      <c r="F133" s="130"/>
      <c r="G133" s="47">
        <f>Source!F58</f>
        <v>4.1955600000000004</v>
      </c>
      <c r="H133" s="59"/>
      <c r="I133" s="59"/>
      <c r="J133" s="59"/>
      <c r="K133" s="59"/>
      <c r="L133" s="59"/>
    </row>
    <row r="135" spans="1:82" ht="14.25">
      <c r="C135" s="131" t="str">
        <f>Source!H74</f>
        <v>НДС 20%</v>
      </c>
      <c r="D135" s="131"/>
      <c r="E135" s="131"/>
      <c r="F135" s="131"/>
      <c r="G135" s="131"/>
      <c r="H135" s="131"/>
      <c r="I135" s="131"/>
      <c r="J135" s="131"/>
      <c r="K135" s="131"/>
      <c r="L135" s="57">
        <f>IF(Source!Y74=0, "", Source!Y74)</f>
        <v>23483.89</v>
      </c>
    </row>
    <row r="136" spans="1:82" ht="14.25">
      <c r="C136" s="131" t="str">
        <f>Source!H75</f>
        <v>ИТОГО с НДС</v>
      </c>
      <c r="D136" s="131"/>
      <c r="E136" s="131"/>
      <c r="F136" s="131"/>
      <c r="G136" s="131"/>
      <c r="H136" s="131"/>
      <c r="I136" s="131"/>
      <c r="J136" s="131"/>
      <c r="K136" s="131"/>
      <c r="L136" s="57">
        <f>IF(Source!Y75=0, "", Source!Y75)</f>
        <v>140903.32</v>
      </c>
    </row>
    <row r="138" spans="1:82" ht="16.5">
      <c r="A138" s="110" t="s">
        <v>527</v>
      </c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</row>
    <row r="139" spans="1:82" ht="14.25">
      <c r="A139" s="65" t="s">
        <v>126</v>
      </c>
      <c r="B139" s="50" t="str">
        <f>Source!F81</f>
        <v>цена поставщика</v>
      </c>
      <c r="C139" s="50" t="str">
        <f>Source!G81</f>
        <v>Счетчик электрический</v>
      </c>
      <c r="D139" s="51" t="str">
        <f>Source!H81</f>
        <v>ШТ</v>
      </c>
      <c r="E139" s="52">
        <f>Source!K81</f>
        <v>187</v>
      </c>
      <c r="F139" s="53"/>
      <c r="G139" s="52">
        <f>Source!I81</f>
        <v>187</v>
      </c>
      <c r="H139" s="54">
        <f>Source!AL81</f>
        <v>12085</v>
      </c>
      <c r="I139" s="55"/>
      <c r="J139" s="54"/>
      <c r="K139" s="50"/>
      <c r="L139" s="54">
        <f>Source!P81</f>
        <v>2259895</v>
      </c>
    </row>
    <row r="140" spans="1:82" ht="15">
      <c r="C140" s="111" t="s">
        <v>494</v>
      </c>
      <c r="D140" s="111"/>
      <c r="E140" s="111"/>
      <c r="F140" s="111"/>
      <c r="G140" s="111"/>
      <c r="H140" s="111"/>
      <c r="I140" s="112">
        <f>K140/E139</f>
        <v>12085</v>
      </c>
      <c r="J140" s="112"/>
      <c r="K140" s="112">
        <f>L139</f>
        <v>2259895</v>
      </c>
      <c r="L140" s="112"/>
      <c r="AD140">
        <f>ROUND((Source!AT81/100)*((ROUND(ROUND(Source!AO81,2)*Source!I81, 2)+ROUND(ROUND(Source!AN81,2)*Source!I81, 2))), 2)</f>
        <v>0</v>
      </c>
      <c r="AE140">
        <f>ROUND((Source!AU81/100)*((ROUND(ROUND(Source!AO81,2)*Source!I81, 2)+ROUND(ROUND(Source!AN81,2)*Source!I81, 2))), 2)</f>
        <v>0</v>
      </c>
      <c r="AN140" s="56">
        <f>L139</f>
        <v>2259895</v>
      </c>
      <c r="AO140">
        <f>0</f>
        <v>0</v>
      </c>
      <c r="AQ140" t="s">
        <v>495</v>
      </c>
      <c r="AR140">
        <f>0</f>
        <v>0</v>
      </c>
      <c r="AT140">
        <f>0</f>
        <v>0</v>
      </c>
      <c r="AV140" t="s">
        <v>495</v>
      </c>
      <c r="AW140" s="56">
        <f>L139</f>
        <v>2259895</v>
      </c>
      <c r="AZ140">
        <f>Source!X81</f>
        <v>0</v>
      </c>
      <c r="BA140">
        <f>Source!Y81</f>
        <v>0</v>
      </c>
      <c r="CD140">
        <v>1</v>
      </c>
    </row>
    <row r="141" spans="1:82" ht="57">
      <c r="A141" s="65" t="s">
        <v>133</v>
      </c>
      <c r="B141" s="50" t="str">
        <f>Source!F82</f>
        <v>цена поставщика</v>
      </c>
      <c r="C141" s="50" t="str">
        <f>Source!G82</f>
        <v>Провода самонесущие изолированные для воздушных линий электропередачи с алюминиевыми жилами марки:СИП-4 2х16-0,6/1,0</v>
      </c>
      <c r="D141" s="51" t="str">
        <f>Source!H82</f>
        <v>м</v>
      </c>
      <c r="E141" s="52">
        <f>Source!K82</f>
        <v>748</v>
      </c>
      <c r="F141" s="53"/>
      <c r="G141" s="52">
        <f>Source!I82</f>
        <v>748</v>
      </c>
      <c r="H141" s="54">
        <f>Source!AL82</f>
        <v>36.67</v>
      </c>
      <c r="I141" s="55"/>
      <c r="J141" s="54"/>
      <c r="K141" s="50"/>
      <c r="L141" s="54">
        <f>Source!P82</f>
        <v>27429.16</v>
      </c>
    </row>
    <row r="142" spans="1:82" ht="15">
      <c r="C142" s="111" t="s">
        <v>494</v>
      </c>
      <c r="D142" s="111"/>
      <c r="E142" s="111"/>
      <c r="F142" s="111"/>
      <c r="G142" s="111"/>
      <c r="H142" s="111"/>
      <c r="I142" s="112">
        <f>K142/E141</f>
        <v>36.67</v>
      </c>
      <c r="J142" s="112"/>
      <c r="K142" s="112">
        <f>L141</f>
        <v>27429.16</v>
      </c>
      <c r="L142" s="112"/>
      <c r="AD142">
        <f>ROUND((Source!AT82/100)*((ROUND(ROUND(Source!AO82,2)*Source!I82, 2)+ROUND(ROUND(Source!AN82,2)*Source!I82, 2))), 2)</f>
        <v>0</v>
      </c>
      <c r="AE142">
        <f>ROUND((Source!AU82/100)*((ROUND(ROUND(Source!AO82,2)*Source!I82, 2)+ROUND(ROUND(Source!AN82,2)*Source!I82, 2))), 2)</f>
        <v>0</v>
      </c>
      <c r="AN142" s="56">
        <f>L141</f>
        <v>27429.16</v>
      </c>
      <c r="AO142">
        <f>0</f>
        <v>0</v>
      </c>
      <c r="AQ142" t="s">
        <v>495</v>
      </c>
      <c r="AR142">
        <f>0</f>
        <v>0</v>
      </c>
      <c r="AT142">
        <f>0</f>
        <v>0</v>
      </c>
      <c r="AV142" t="s">
        <v>495</v>
      </c>
      <c r="AW142" s="56">
        <f>L141</f>
        <v>27429.16</v>
      </c>
      <c r="AZ142">
        <f>Source!X82</f>
        <v>0</v>
      </c>
      <c r="BA142">
        <f>Source!Y82</f>
        <v>0</v>
      </c>
      <c r="CD142">
        <v>1</v>
      </c>
    </row>
    <row r="143" spans="1:82" ht="71.25">
      <c r="A143" s="65" t="s">
        <v>136</v>
      </c>
      <c r="B143" s="50" t="str">
        <f>Source!F83</f>
        <v>цена поставщика</v>
      </c>
      <c r="C143" s="50" t="str">
        <f>Source!G83</f>
        <v>Лента крепления шириной 20 мм, толщиной 0,7 мм, длиной 50 м из нержавеющей стали (в пластмасовой коробке с кабельной бухтой) F207 (СИП)</v>
      </c>
      <c r="D143" s="51" t="str">
        <f>Source!H83</f>
        <v>ШТ</v>
      </c>
      <c r="E143" s="52">
        <f>Source!K83</f>
        <v>7.5</v>
      </c>
      <c r="F143" s="53"/>
      <c r="G143" s="52">
        <f>Source!I83</f>
        <v>7.5</v>
      </c>
      <c r="H143" s="54">
        <f>Source!AL83</f>
        <v>2416.67</v>
      </c>
      <c r="I143" s="55"/>
      <c r="J143" s="54"/>
      <c r="K143" s="50"/>
      <c r="L143" s="54">
        <f>Source!P83</f>
        <v>18125.03</v>
      </c>
    </row>
    <row r="144" spans="1:82" ht="15">
      <c r="C144" s="111" t="s">
        <v>494</v>
      </c>
      <c r="D144" s="111"/>
      <c r="E144" s="111"/>
      <c r="F144" s="111"/>
      <c r="G144" s="111"/>
      <c r="H144" s="111"/>
      <c r="I144" s="112">
        <f>K144/E143</f>
        <v>2416.6706666666664</v>
      </c>
      <c r="J144" s="112"/>
      <c r="K144" s="112">
        <f>L143</f>
        <v>18125.03</v>
      </c>
      <c r="L144" s="112"/>
      <c r="AD144">
        <f>ROUND((Source!AT83/100)*((ROUND(ROUND(Source!AO83,2)*Source!I83, 2)+ROUND(ROUND(Source!AN83,2)*Source!I83, 2))), 2)</f>
        <v>0</v>
      </c>
      <c r="AE144">
        <f>ROUND((Source!AU83/100)*((ROUND(ROUND(Source!AO83,2)*Source!I83, 2)+ROUND(ROUND(Source!AN83,2)*Source!I83, 2))), 2)</f>
        <v>0</v>
      </c>
      <c r="AN144" s="56">
        <f>L143</f>
        <v>18125.03</v>
      </c>
      <c r="AO144">
        <f>0</f>
        <v>0</v>
      </c>
      <c r="AQ144" t="s">
        <v>495</v>
      </c>
      <c r="AR144">
        <f>0</f>
        <v>0</v>
      </c>
      <c r="AT144">
        <f>0</f>
        <v>0</v>
      </c>
      <c r="AV144" t="s">
        <v>495</v>
      </c>
      <c r="AW144" s="56">
        <f>L143</f>
        <v>18125.03</v>
      </c>
      <c r="AZ144">
        <f>Source!X83</f>
        <v>0</v>
      </c>
      <c r="BA144">
        <f>Source!Y83</f>
        <v>0</v>
      </c>
      <c r="CD144">
        <v>1</v>
      </c>
    </row>
    <row r="145" spans="1:82" ht="14.25">
      <c r="A145" s="65" t="s">
        <v>138</v>
      </c>
      <c r="B145" s="50" t="str">
        <f>Source!F84</f>
        <v>цена поставщика</v>
      </c>
      <c r="C145" s="50" t="str">
        <f>Source!G84</f>
        <v>Скрепа размером 20 мм NC20 (СИП)</v>
      </c>
      <c r="D145" s="51" t="str">
        <f>Source!H84</f>
        <v>ШТ</v>
      </c>
      <c r="E145" s="52">
        <f>Source!K84</f>
        <v>374</v>
      </c>
      <c r="F145" s="53"/>
      <c r="G145" s="52">
        <f>Source!I84</f>
        <v>374</v>
      </c>
      <c r="H145" s="54">
        <f>Source!AL84</f>
        <v>10.83</v>
      </c>
      <c r="I145" s="55"/>
      <c r="J145" s="54"/>
      <c r="K145" s="50"/>
      <c r="L145" s="54">
        <f>Source!P84</f>
        <v>4050.42</v>
      </c>
    </row>
    <row r="146" spans="1:82" ht="15">
      <c r="C146" s="111" t="s">
        <v>494</v>
      </c>
      <c r="D146" s="111"/>
      <c r="E146" s="111"/>
      <c r="F146" s="111"/>
      <c r="G146" s="111"/>
      <c r="H146" s="111"/>
      <c r="I146" s="112">
        <f>K146/E145</f>
        <v>10.83</v>
      </c>
      <c r="J146" s="112"/>
      <c r="K146" s="112">
        <f>L145</f>
        <v>4050.42</v>
      </c>
      <c r="L146" s="112"/>
      <c r="AD146">
        <f>ROUND((Source!AT84/100)*((ROUND(ROUND(Source!AO84,2)*Source!I84, 2)+ROUND(ROUND(Source!AN84,2)*Source!I84, 2))), 2)</f>
        <v>0</v>
      </c>
      <c r="AE146">
        <f>ROUND((Source!AU84/100)*((ROUND(ROUND(Source!AO84,2)*Source!I84, 2)+ROUND(ROUND(Source!AN84,2)*Source!I84, 2))), 2)</f>
        <v>0</v>
      </c>
      <c r="AN146" s="56">
        <f>L145</f>
        <v>4050.42</v>
      </c>
      <c r="AO146">
        <f>0</f>
        <v>0</v>
      </c>
      <c r="AQ146" t="s">
        <v>495</v>
      </c>
      <c r="AR146">
        <f>0</f>
        <v>0</v>
      </c>
      <c r="AT146">
        <f>0</f>
        <v>0</v>
      </c>
      <c r="AV146" t="s">
        <v>495</v>
      </c>
      <c r="AW146" s="56">
        <f>L145</f>
        <v>4050.42</v>
      </c>
      <c r="AZ146">
        <f>Source!X84</f>
        <v>0</v>
      </c>
      <c r="BA146">
        <f>Source!Y84</f>
        <v>0</v>
      </c>
      <c r="CD146">
        <v>1</v>
      </c>
    </row>
    <row r="147" spans="1:82" ht="28.5">
      <c r="A147" s="65" t="s">
        <v>140</v>
      </c>
      <c r="B147" s="50" t="str">
        <f>Source!F85</f>
        <v>цена поставщика</v>
      </c>
      <c r="C147" s="50" t="str">
        <f>Source!G85</f>
        <v>Зажим ответвительный с прокалыванием изоляции (СИП):P 645</v>
      </c>
      <c r="D147" s="51" t="str">
        <f>Source!H85</f>
        <v>ШТ</v>
      </c>
      <c r="E147" s="52">
        <f>Source!K85</f>
        <v>748</v>
      </c>
      <c r="F147" s="53"/>
      <c r="G147" s="52">
        <f>Source!I85</f>
        <v>748</v>
      </c>
      <c r="H147" s="54">
        <f>Source!AL85</f>
        <v>151.66999999999999</v>
      </c>
      <c r="I147" s="55"/>
      <c r="J147" s="54"/>
      <c r="K147" s="50"/>
      <c r="L147" s="54">
        <f>Source!P85</f>
        <v>113449.16</v>
      </c>
    </row>
    <row r="148" spans="1:82" ht="15">
      <c r="C148" s="111" t="s">
        <v>494</v>
      </c>
      <c r="D148" s="111"/>
      <c r="E148" s="111"/>
      <c r="F148" s="111"/>
      <c r="G148" s="111"/>
      <c r="H148" s="111"/>
      <c r="I148" s="112">
        <f>K148/E147</f>
        <v>151.67000000000002</v>
      </c>
      <c r="J148" s="112"/>
      <c r="K148" s="112">
        <f>L147</f>
        <v>113449.16</v>
      </c>
      <c r="L148" s="112"/>
      <c r="AD148">
        <f>ROUND((Source!AT85/100)*((ROUND(ROUND(Source!AO85,2)*Source!I85, 2)+ROUND(ROUND(Source!AN85,2)*Source!I85, 2))), 2)</f>
        <v>0</v>
      </c>
      <c r="AE148">
        <f>ROUND((Source!AU85/100)*((ROUND(ROUND(Source!AO85,2)*Source!I85, 2)+ROUND(ROUND(Source!AN85,2)*Source!I85, 2))), 2)</f>
        <v>0</v>
      </c>
      <c r="AN148" s="56">
        <f>L147</f>
        <v>113449.16</v>
      </c>
      <c r="AO148">
        <f>0</f>
        <v>0</v>
      </c>
      <c r="AQ148" t="s">
        <v>495</v>
      </c>
      <c r="AR148">
        <f>0</f>
        <v>0</v>
      </c>
      <c r="AT148">
        <f>0</f>
        <v>0</v>
      </c>
      <c r="AV148" t="s">
        <v>495</v>
      </c>
      <c r="AW148" s="56">
        <f>L147</f>
        <v>113449.16</v>
      </c>
      <c r="AZ148">
        <f>Source!X85</f>
        <v>0</v>
      </c>
      <c r="BA148">
        <f>Source!Y85</f>
        <v>0</v>
      </c>
      <c r="CD148">
        <v>1</v>
      </c>
    </row>
    <row r="149" spans="1:82" ht="28.5">
      <c r="A149" s="65" t="s">
        <v>142</v>
      </c>
      <c r="B149" s="50" t="str">
        <f>Source!F86</f>
        <v>цена поставщика</v>
      </c>
      <c r="C149" s="50" t="str">
        <f>Source!G86</f>
        <v>Кронштейн для счетчика электрической энергии типа AD11S</v>
      </c>
      <c r="D149" s="51" t="str">
        <f>Source!H86</f>
        <v>ШТ</v>
      </c>
      <c r="E149" s="52">
        <f>Source!K86</f>
        <v>187</v>
      </c>
      <c r="F149" s="53"/>
      <c r="G149" s="52">
        <f>Source!I86</f>
        <v>187</v>
      </c>
      <c r="H149" s="54">
        <f>Source!AL86</f>
        <v>109.17</v>
      </c>
      <c r="I149" s="55"/>
      <c r="J149" s="54"/>
      <c r="K149" s="50"/>
      <c r="L149" s="54">
        <f>Source!P86</f>
        <v>20414.79</v>
      </c>
    </row>
    <row r="150" spans="1:82" ht="15">
      <c r="C150" s="111" t="s">
        <v>494</v>
      </c>
      <c r="D150" s="111"/>
      <c r="E150" s="111"/>
      <c r="F150" s="111"/>
      <c r="G150" s="111"/>
      <c r="H150" s="111"/>
      <c r="I150" s="112">
        <f>K150/E149</f>
        <v>109.17</v>
      </c>
      <c r="J150" s="112"/>
      <c r="K150" s="112">
        <f>L149</f>
        <v>20414.79</v>
      </c>
      <c r="L150" s="112"/>
      <c r="AD150">
        <f>ROUND((Source!AT86/100)*((ROUND(ROUND(Source!AO86,2)*Source!I86, 2)+ROUND(ROUND(Source!AN86,2)*Source!I86, 2))), 2)</f>
        <v>0</v>
      </c>
      <c r="AE150">
        <f>ROUND((Source!AU86/100)*((ROUND(ROUND(Source!AO86,2)*Source!I86, 2)+ROUND(ROUND(Source!AN86,2)*Source!I86, 2))), 2)</f>
        <v>0</v>
      </c>
      <c r="AN150" s="56">
        <f>L149</f>
        <v>20414.79</v>
      </c>
      <c r="AO150">
        <f>0</f>
        <v>0</v>
      </c>
      <c r="AQ150" t="s">
        <v>495</v>
      </c>
      <c r="AR150">
        <f>0</f>
        <v>0</v>
      </c>
      <c r="AT150">
        <f>0</f>
        <v>0</v>
      </c>
      <c r="AV150" t="s">
        <v>495</v>
      </c>
      <c r="AW150" s="56">
        <f>L149</f>
        <v>20414.79</v>
      </c>
      <c r="AZ150">
        <f>Source!X86</f>
        <v>0</v>
      </c>
      <c r="BA150">
        <f>Source!Y86</f>
        <v>0</v>
      </c>
      <c r="CD150">
        <v>1</v>
      </c>
    </row>
    <row r="152" spans="1:82" ht="15">
      <c r="A152" s="62"/>
      <c r="B152" s="63"/>
      <c r="C152" s="129" t="s">
        <v>501</v>
      </c>
      <c r="D152" s="129"/>
      <c r="E152" s="129"/>
      <c r="F152" s="129"/>
      <c r="G152" s="129"/>
      <c r="H152" s="129"/>
      <c r="I152" s="49"/>
      <c r="J152" s="62"/>
      <c r="K152" s="64"/>
      <c r="L152" s="49">
        <f>L154+L155+L161+L165</f>
        <v>2443363.56</v>
      </c>
    </row>
    <row r="153" spans="1:82" ht="14.25">
      <c r="A153" s="59"/>
      <c r="B153" s="61"/>
      <c r="C153" s="128" t="s">
        <v>502</v>
      </c>
      <c r="D153" s="127"/>
      <c r="E153" s="127"/>
      <c r="F153" s="127"/>
      <c r="G153" s="127"/>
      <c r="H153" s="127"/>
      <c r="I153" s="48"/>
      <c r="J153" s="59"/>
      <c r="K153" s="45"/>
      <c r="L153" s="48"/>
    </row>
    <row r="154" spans="1:82" ht="14.25" hidden="1">
      <c r="A154" s="59"/>
      <c r="B154" s="61"/>
      <c r="C154" s="127" t="s">
        <v>503</v>
      </c>
      <c r="D154" s="127"/>
      <c r="E154" s="127"/>
      <c r="F154" s="127"/>
      <c r="G154" s="127"/>
      <c r="H154" s="127"/>
      <c r="I154" s="48"/>
      <c r="J154" s="59"/>
      <c r="K154" s="45"/>
      <c r="L154" s="48">
        <f>SUM(AR138:AR150)</f>
        <v>0</v>
      </c>
    </row>
    <row r="155" spans="1:82" ht="14.25" hidden="1">
      <c r="A155" s="59"/>
      <c r="B155" s="61"/>
      <c r="C155" s="127" t="s">
        <v>504</v>
      </c>
      <c r="D155" s="127"/>
      <c r="E155" s="127"/>
      <c r="F155" s="127"/>
      <c r="G155" s="127"/>
      <c r="H155" s="127"/>
      <c r="I155" s="48"/>
      <c r="J155" s="59"/>
      <c r="K155" s="45"/>
      <c r="L155" s="48">
        <f>L157+L160+L159</f>
        <v>0</v>
      </c>
    </row>
    <row r="156" spans="1:82" ht="14.25" hidden="1">
      <c r="A156" s="59"/>
      <c r="B156" s="61"/>
      <c r="C156" s="128" t="s">
        <v>505</v>
      </c>
      <c r="D156" s="127"/>
      <c r="E156" s="127"/>
      <c r="F156" s="127"/>
      <c r="G156" s="127"/>
      <c r="H156" s="127"/>
      <c r="I156" s="48"/>
      <c r="J156" s="59"/>
      <c r="K156" s="45"/>
      <c r="L156" s="48"/>
    </row>
    <row r="157" spans="1:82" ht="14.25" hidden="1">
      <c r="A157" s="59"/>
      <c r="B157" s="61"/>
      <c r="C157" s="127" t="s">
        <v>504</v>
      </c>
      <c r="D157" s="127"/>
      <c r="E157" s="127"/>
      <c r="F157" s="127"/>
      <c r="G157" s="127"/>
      <c r="H157" s="127"/>
      <c r="I157" s="48"/>
      <c r="J157" s="59"/>
      <c r="K157" s="45"/>
      <c r="L157" s="48">
        <f>SUM(AO138:AO150)</f>
        <v>0</v>
      </c>
    </row>
    <row r="158" spans="1:82" ht="14.25" hidden="1">
      <c r="A158" s="59"/>
      <c r="B158" s="61"/>
      <c r="C158" s="128" t="s">
        <v>506</v>
      </c>
      <c r="D158" s="127"/>
      <c r="E158" s="127"/>
      <c r="F158" s="127"/>
      <c r="G158" s="127"/>
      <c r="H158" s="127"/>
      <c r="I158" s="48"/>
      <c r="J158" s="59"/>
      <c r="K158" s="45"/>
      <c r="L158" s="48"/>
    </row>
    <row r="159" spans="1:82" ht="14.25" hidden="1">
      <c r="A159" s="59"/>
      <c r="B159" s="61"/>
      <c r="C159" s="127" t="s">
        <v>526</v>
      </c>
      <c r="D159" s="127"/>
      <c r="E159" s="127"/>
      <c r="F159" s="127"/>
      <c r="G159" s="127"/>
      <c r="H159" s="127"/>
      <c r="I159" s="48"/>
      <c r="J159" s="59"/>
      <c r="K159" s="45"/>
      <c r="L159" s="48">
        <f>SUM(AT138:AT150)</f>
        <v>0</v>
      </c>
    </row>
    <row r="160" spans="1:82" ht="14.25" hidden="1">
      <c r="A160" s="59"/>
      <c r="B160" s="61"/>
      <c r="C160" s="127" t="s">
        <v>507</v>
      </c>
      <c r="D160" s="127"/>
      <c r="E160" s="127"/>
      <c r="F160" s="127"/>
      <c r="G160" s="127"/>
      <c r="H160" s="127"/>
      <c r="I160" s="48"/>
      <c r="J160" s="59"/>
      <c r="K160" s="45"/>
      <c r="L160" s="48">
        <f>SUM(AV138:AV150)</f>
        <v>0</v>
      </c>
    </row>
    <row r="161" spans="1:12" ht="14.25">
      <c r="A161" s="59"/>
      <c r="B161" s="61"/>
      <c r="C161" s="127" t="s">
        <v>508</v>
      </c>
      <c r="D161" s="127"/>
      <c r="E161" s="127"/>
      <c r="F161" s="127"/>
      <c r="G161" s="127"/>
      <c r="H161" s="127"/>
      <c r="I161" s="48"/>
      <c r="J161" s="59"/>
      <c r="K161" s="45"/>
      <c r="L161" s="48">
        <f>L163+L164</f>
        <v>2443363.56</v>
      </c>
    </row>
    <row r="162" spans="1:12" ht="14.25">
      <c r="A162" s="59"/>
      <c r="B162" s="61"/>
      <c r="C162" s="128" t="s">
        <v>505</v>
      </c>
      <c r="D162" s="127"/>
      <c r="E162" s="127"/>
      <c r="F162" s="127"/>
      <c r="G162" s="127"/>
      <c r="H162" s="127"/>
      <c r="I162" s="48"/>
      <c r="J162" s="59"/>
      <c r="K162" s="45"/>
      <c r="L162" s="48"/>
    </row>
    <row r="163" spans="1:12" ht="14.25">
      <c r="A163" s="59"/>
      <c r="B163" s="61"/>
      <c r="C163" s="127" t="s">
        <v>509</v>
      </c>
      <c r="D163" s="127"/>
      <c r="E163" s="127"/>
      <c r="F163" s="127"/>
      <c r="G163" s="127"/>
      <c r="H163" s="127"/>
      <c r="I163" s="48"/>
      <c r="J163" s="59"/>
      <c r="K163" s="45"/>
      <c r="L163" s="48">
        <f>SUM(AW138:AW150)-SUM(BK138:BK150)</f>
        <v>2443363.56</v>
      </c>
    </row>
    <row r="164" spans="1:12" ht="14.25" hidden="1">
      <c r="A164" s="59"/>
      <c r="B164" s="61"/>
      <c r="C164" s="127" t="s">
        <v>510</v>
      </c>
      <c r="D164" s="127"/>
      <c r="E164" s="127"/>
      <c r="F164" s="127"/>
      <c r="G164" s="127"/>
      <c r="H164" s="127"/>
      <c r="I164" s="48"/>
      <c r="J164" s="59"/>
      <c r="K164" s="45"/>
      <c r="L164" s="48">
        <f>SUM(BC138:BC150)</f>
        <v>0</v>
      </c>
    </row>
    <row r="165" spans="1:12" ht="14.25" hidden="1">
      <c r="A165" s="59"/>
      <c r="B165" s="61"/>
      <c r="C165" s="127" t="s">
        <v>511</v>
      </c>
      <c r="D165" s="127"/>
      <c r="E165" s="127"/>
      <c r="F165" s="127"/>
      <c r="G165" s="127"/>
      <c r="H165" s="127"/>
      <c r="I165" s="48"/>
      <c r="J165" s="59"/>
      <c r="K165" s="45"/>
      <c r="L165" s="48">
        <f>SUM(BB138:BB150)</f>
        <v>0</v>
      </c>
    </row>
    <row r="166" spans="1:12" ht="14.25" hidden="1">
      <c r="A166" s="59"/>
      <c r="B166" s="61"/>
      <c r="C166" s="127" t="s">
        <v>512</v>
      </c>
      <c r="D166" s="127"/>
      <c r="E166" s="127"/>
      <c r="F166" s="127"/>
      <c r="G166" s="127"/>
      <c r="H166" s="127"/>
      <c r="I166" s="48"/>
      <c r="J166" s="59"/>
      <c r="K166" s="45"/>
      <c r="L166" s="48">
        <f>SUM(AR138:AR150)+SUM(AT138:AT150)+SUM(AV138:AV150)</f>
        <v>0</v>
      </c>
    </row>
    <row r="167" spans="1:12" ht="14.25" hidden="1">
      <c r="A167" s="59"/>
      <c r="B167" s="61"/>
      <c r="C167" s="127" t="s">
        <v>513</v>
      </c>
      <c r="D167" s="127"/>
      <c r="E167" s="127"/>
      <c r="F167" s="127"/>
      <c r="G167" s="127"/>
      <c r="H167" s="127"/>
      <c r="I167" s="48"/>
      <c r="J167" s="59"/>
      <c r="K167" s="45"/>
      <c r="L167" s="48">
        <f>SUM(AZ138:AZ150)</f>
        <v>0</v>
      </c>
    </row>
    <row r="168" spans="1:12" ht="14.25" hidden="1">
      <c r="A168" s="59"/>
      <c r="B168" s="61"/>
      <c r="C168" s="127" t="s">
        <v>514</v>
      </c>
      <c r="D168" s="127"/>
      <c r="E168" s="127"/>
      <c r="F168" s="127"/>
      <c r="G168" s="127"/>
      <c r="H168" s="127"/>
      <c r="I168" s="48"/>
      <c r="J168" s="59"/>
      <c r="K168" s="45"/>
      <c r="L168" s="48">
        <f>SUM(BA138:BA150)</f>
        <v>0</v>
      </c>
    </row>
    <row r="169" spans="1:12" ht="14.25" hidden="1">
      <c r="A169" s="59"/>
      <c r="B169" s="61"/>
      <c r="C169" s="127" t="s">
        <v>515</v>
      </c>
      <c r="D169" s="127"/>
      <c r="E169" s="127"/>
      <c r="F169" s="127"/>
      <c r="G169" s="127"/>
      <c r="H169" s="127"/>
      <c r="I169" s="48"/>
      <c r="J169" s="59"/>
      <c r="K169" s="45"/>
      <c r="L169" s="48">
        <f>L171+L172</f>
        <v>0</v>
      </c>
    </row>
    <row r="170" spans="1:12" ht="14.25" hidden="1">
      <c r="A170" s="59"/>
      <c r="B170" s="61"/>
      <c r="C170" s="128" t="s">
        <v>502</v>
      </c>
      <c r="D170" s="127"/>
      <c r="E170" s="127"/>
      <c r="F170" s="127"/>
      <c r="G170" s="127"/>
      <c r="H170" s="127"/>
      <c r="I170" s="48"/>
      <c r="J170" s="59"/>
      <c r="K170" s="45"/>
      <c r="L170" s="48"/>
    </row>
    <row r="171" spans="1:12" ht="14.25" hidden="1">
      <c r="A171" s="59"/>
      <c r="B171" s="61"/>
      <c r="C171" s="127" t="s">
        <v>516</v>
      </c>
      <c r="D171" s="127"/>
      <c r="E171" s="127"/>
      <c r="F171" s="127"/>
      <c r="G171" s="127"/>
      <c r="H171" s="127"/>
      <c r="I171" s="48"/>
      <c r="J171" s="59"/>
      <c r="K171" s="45"/>
      <c r="L171" s="48">
        <f>SUM(BK138:BK150)</f>
        <v>0</v>
      </c>
    </row>
    <row r="172" spans="1:12" ht="14.25" hidden="1">
      <c r="A172" s="59"/>
      <c r="B172" s="61"/>
      <c r="C172" s="127" t="s">
        <v>517</v>
      </c>
      <c r="D172" s="127"/>
      <c r="E172" s="127"/>
      <c r="F172" s="127"/>
      <c r="G172" s="127"/>
      <c r="H172" s="127"/>
      <c r="I172" s="48"/>
      <c r="J172" s="59"/>
      <c r="K172" s="45"/>
      <c r="L172" s="48">
        <f>SUM(BD138:BD150)</f>
        <v>0</v>
      </c>
    </row>
    <row r="173" spans="1:12" ht="14.25" hidden="1">
      <c r="A173" s="59"/>
      <c r="B173" s="61"/>
      <c r="C173" s="127" t="s">
        <v>518</v>
      </c>
      <c r="D173" s="127"/>
      <c r="E173" s="127"/>
      <c r="F173" s="127"/>
      <c r="G173" s="127"/>
      <c r="H173" s="127"/>
      <c r="I173" s="48"/>
      <c r="J173" s="59"/>
      <c r="K173" s="45"/>
      <c r="L173" s="48"/>
    </row>
    <row r="174" spans="1:12" ht="14.25" hidden="1">
      <c r="A174" s="59"/>
      <c r="B174" s="61"/>
      <c r="C174" s="127" t="s">
        <v>519</v>
      </c>
      <c r="D174" s="127"/>
      <c r="E174" s="127"/>
      <c r="F174" s="127"/>
      <c r="G174" s="127"/>
      <c r="H174" s="127"/>
      <c r="I174" s="48"/>
      <c r="J174" s="59"/>
      <c r="K174" s="45"/>
      <c r="L174" s="48">
        <f>SUM(BO138:BO150)</f>
        <v>0</v>
      </c>
    </row>
    <row r="175" spans="1:12" ht="15">
      <c r="A175" s="62"/>
      <c r="B175" s="63"/>
      <c r="C175" s="129" t="s">
        <v>520</v>
      </c>
      <c r="D175" s="129"/>
      <c r="E175" s="129"/>
      <c r="F175" s="129"/>
      <c r="G175" s="129"/>
      <c r="H175" s="129"/>
      <c r="I175" s="49"/>
      <c r="J175" s="62"/>
      <c r="K175" s="64"/>
      <c r="L175" s="49">
        <f>L152+L167+L168+L169+L173+L174</f>
        <v>2443363.56</v>
      </c>
    </row>
    <row r="176" spans="1:12" ht="14.25" hidden="1">
      <c r="A176" s="59"/>
      <c r="B176" s="61"/>
      <c r="C176" s="128" t="s">
        <v>521</v>
      </c>
      <c r="D176" s="127"/>
      <c r="E176" s="127"/>
      <c r="F176" s="127"/>
      <c r="G176" s="127"/>
      <c r="H176" s="127"/>
      <c r="I176" s="48"/>
      <c r="J176" s="59"/>
      <c r="K176" s="45"/>
      <c r="L176" s="48"/>
    </row>
    <row r="177" spans="1:83" ht="14.25" hidden="1">
      <c r="A177" s="59"/>
      <c r="B177" s="61"/>
      <c r="C177" s="127" t="s">
        <v>522</v>
      </c>
      <c r="D177" s="127"/>
      <c r="E177" s="127"/>
      <c r="F177" s="127"/>
      <c r="G177" s="127"/>
      <c r="H177" s="127"/>
      <c r="I177" s="48"/>
      <c r="J177" s="59"/>
      <c r="K177" s="45"/>
      <c r="L177" s="48">
        <f>SUM(AX138:AX150)</f>
        <v>0</v>
      </c>
    </row>
    <row r="178" spans="1:83" ht="14.25" hidden="1">
      <c r="A178" s="59"/>
      <c r="B178" s="61"/>
      <c r="C178" s="127" t="s">
        <v>523</v>
      </c>
      <c r="D178" s="127"/>
      <c r="E178" s="127"/>
      <c r="F178" s="127"/>
      <c r="G178" s="127"/>
      <c r="H178" s="127"/>
      <c r="I178" s="48"/>
      <c r="J178" s="59"/>
      <c r="K178" s="45"/>
      <c r="L178" s="48">
        <f>SUM(AY138:AY150)</f>
        <v>0</v>
      </c>
    </row>
    <row r="179" spans="1:83" ht="14.25" hidden="1" customHeight="1">
      <c r="A179" s="59"/>
      <c r="B179" s="61"/>
      <c r="C179" s="127" t="s">
        <v>524</v>
      </c>
      <c r="D179" s="127"/>
      <c r="E179" s="127"/>
      <c r="F179" s="130"/>
      <c r="G179" s="47">
        <f>Source!F110</f>
        <v>0</v>
      </c>
      <c r="H179" s="59"/>
      <c r="I179" s="59"/>
      <c r="J179" s="59"/>
      <c r="K179" s="59"/>
      <c r="L179" s="59"/>
    </row>
    <row r="180" spans="1:83" ht="14.25" hidden="1" customHeight="1">
      <c r="A180" s="59"/>
      <c r="B180" s="61"/>
      <c r="C180" s="127" t="s">
        <v>525</v>
      </c>
      <c r="D180" s="127"/>
      <c r="E180" s="127"/>
      <c r="F180" s="130"/>
      <c r="G180" s="47">
        <f>Source!F111</f>
        <v>0</v>
      </c>
      <c r="H180" s="59"/>
      <c r="I180" s="59"/>
      <c r="J180" s="59"/>
      <c r="K180" s="59"/>
      <c r="L180" s="59"/>
    </row>
    <row r="182" spans="1:83" ht="14.25">
      <c r="C182" s="131" t="str">
        <f>Source!H127</f>
        <v>НДС 20%</v>
      </c>
      <c r="D182" s="131"/>
      <c r="E182" s="131"/>
      <c r="F182" s="131"/>
      <c r="G182" s="131"/>
      <c r="H182" s="131"/>
      <c r="I182" s="131"/>
      <c r="J182" s="131"/>
      <c r="K182" s="131"/>
      <c r="L182" s="57">
        <f>IF(Source!Y127=0, "", Source!Y127)</f>
        <v>488672.71</v>
      </c>
    </row>
    <row r="183" spans="1:83" ht="14.25">
      <c r="C183" s="131" t="str">
        <f>Source!H128</f>
        <v>ИТОГО с НДС</v>
      </c>
      <c r="D183" s="131"/>
      <c r="E183" s="131"/>
      <c r="F183" s="131"/>
      <c r="G183" s="131"/>
      <c r="H183" s="131"/>
      <c r="I183" s="131"/>
      <c r="J183" s="131"/>
      <c r="K183" s="131"/>
      <c r="L183" s="57">
        <f>IF(Source!Y128=0, "", Source!Y128)</f>
        <v>2932036.27</v>
      </c>
    </row>
    <row r="185" spans="1:83" ht="16.5">
      <c r="A185" s="110" t="s">
        <v>528</v>
      </c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</row>
    <row r="186" spans="1:83" ht="28.5">
      <c r="A186" s="40" t="s">
        <v>145</v>
      </c>
      <c r="B186" s="42" t="s">
        <v>529</v>
      </c>
      <c r="C186" s="42" t="str">
        <f>Source!G134</f>
        <v>Счетчики, устанавливаемые на готовом основании: трехфазные</v>
      </c>
      <c r="D186" s="43" t="str">
        <f>Source!H134</f>
        <v>ШТ</v>
      </c>
      <c r="E186" s="47">
        <f>Source!K134</f>
        <v>13</v>
      </c>
      <c r="F186" s="41"/>
      <c r="G186" s="47">
        <f>Source!I134</f>
        <v>13</v>
      </c>
      <c r="H186" s="48"/>
      <c r="I186" s="46"/>
      <c r="J186" s="48"/>
      <c r="K186" s="42"/>
      <c r="L186" s="48"/>
    </row>
    <row r="187" spans="1:83" ht="15">
      <c r="A187" s="41"/>
      <c r="B187" s="45">
        <v>1</v>
      </c>
      <c r="C187" s="41" t="s">
        <v>483</v>
      </c>
      <c r="D187" s="43" t="s">
        <v>321</v>
      </c>
      <c r="E187" s="47"/>
      <c r="F187" s="45"/>
      <c r="G187" s="47">
        <f>Source!U134</f>
        <v>9.1</v>
      </c>
      <c r="H187" s="45"/>
      <c r="I187" s="45"/>
      <c r="J187" s="45"/>
      <c r="K187" s="45"/>
      <c r="L187" s="49">
        <f>SUM(L188:L188)-SUMIF(CE188:CE188, 1, L188:L188)</f>
        <v>2840.66</v>
      </c>
    </row>
    <row r="188" spans="1:83" ht="28.5">
      <c r="A188" s="42"/>
      <c r="B188" s="42" t="s">
        <v>319</v>
      </c>
      <c r="C188" s="42" t="s">
        <v>320</v>
      </c>
      <c r="D188" s="43" t="s">
        <v>321</v>
      </c>
      <c r="E188" s="47">
        <v>0.7</v>
      </c>
      <c r="F188" s="41"/>
      <c r="G188" s="47">
        <f>SmtRes!CX21</f>
        <v>9.1</v>
      </c>
      <c r="H188" s="48"/>
      <c r="I188" s="46"/>
      <c r="J188" s="48">
        <f>SmtRes!CZ21</f>
        <v>312.16000000000003</v>
      </c>
      <c r="K188" s="42"/>
      <c r="L188" s="48">
        <f>SmtRes!DI21</f>
        <v>2840.66</v>
      </c>
    </row>
    <row r="189" spans="1:83" ht="15">
      <c r="A189" s="41"/>
      <c r="B189" s="45">
        <v>2</v>
      </c>
      <c r="C189" s="41" t="s">
        <v>484</v>
      </c>
      <c r="D189" s="43"/>
      <c r="E189" s="47"/>
      <c r="F189" s="45"/>
      <c r="G189" s="47"/>
      <c r="H189" s="45"/>
      <c r="I189" s="45"/>
      <c r="J189" s="45"/>
      <c r="K189" s="45"/>
      <c r="L189" s="49">
        <f>SUM(L190:L194)-SUMIF(CE190:CE194, 1, L190:L194)</f>
        <v>260.10000000000002</v>
      </c>
    </row>
    <row r="190" spans="1:83" ht="15">
      <c r="A190" s="41"/>
      <c r="B190" s="45"/>
      <c r="C190" s="41" t="s">
        <v>487</v>
      </c>
      <c r="D190" s="43" t="s">
        <v>321</v>
      </c>
      <c r="E190" s="47"/>
      <c r="F190" s="45"/>
      <c r="G190" s="47">
        <f>Source!V134</f>
        <v>0.26</v>
      </c>
      <c r="H190" s="45"/>
      <c r="I190" s="45"/>
      <c r="J190" s="45"/>
      <c r="K190" s="45"/>
      <c r="L190" s="49">
        <f>SUMIF(CE191:CE194, 1, L191:L194)</f>
        <v>92.33</v>
      </c>
      <c r="CE190">
        <v>1</v>
      </c>
    </row>
    <row r="191" spans="1:83" ht="28.5">
      <c r="A191" s="42"/>
      <c r="B191" s="42" t="s">
        <v>324</v>
      </c>
      <c r="C191" s="42" t="s">
        <v>326</v>
      </c>
      <c r="D191" s="43" t="s">
        <v>327</v>
      </c>
      <c r="E191" s="47">
        <v>0.01</v>
      </c>
      <c r="F191" s="41"/>
      <c r="G191" s="47">
        <f>SmtRes!CX23</f>
        <v>0.13</v>
      </c>
      <c r="H191" s="48"/>
      <c r="I191" s="46"/>
      <c r="J191" s="48">
        <f>SmtRes!CZ23</f>
        <v>1442.85</v>
      </c>
      <c r="K191" s="42"/>
      <c r="L191" s="48">
        <f>SmtRes!DG23</f>
        <v>187.57</v>
      </c>
    </row>
    <row r="192" spans="1:83" ht="28.5">
      <c r="A192" s="42"/>
      <c r="B192" s="42" t="s">
        <v>328</v>
      </c>
      <c r="C192" s="42" t="s">
        <v>485</v>
      </c>
      <c r="D192" s="43" t="s">
        <v>321</v>
      </c>
      <c r="E192" s="47">
        <f>SmtRes!DO23*SmtRes!AT23</f>
        <v>0.01</v>
      </c>
      <c r="F192" s="41"/>
      <c r="G192" s="47">
        <f>SmtRes!DO23*SmtRes!CX23</f>
        <v>0.13</v>
      </c>
      <c r="H192" s="48"/>
      <c r="I192" s="46"/>
      <c r="J192" s="48">
        <f>ROUND(SmtRes!AG23/SmtRes!DO23, 2)</f>
        <v>407.16</v>
      </c>
      <c r="K192" s="42"/>
      <c r="L192" s="48">
        <f>SmtRes!DH23</f>
        <v>52.93</v>
      </c>
      <c r="CE192">
        <v>1</v>
      </c>
    </row>
    <row r="193" spans="1:83" ht="28.5">
      <c r="A193" s="42"/>
      <c r="B193" s="42" t="s">
        <v>329</v>
      </c>
      <c r="C193" s="42" t="s">
        <v>331</v>
      </c>
      <c r="D193" s="43" t="s">
        <v>327</v>
      </c>
      <c r="E193" s="47">
        <v>0.01</v>
      </c>
      <c r="F193" s="41"/>
      <c r="G193" s="47">
        <f>SmtRes!CX24</f>
        <v>0.13</v>
      </c>
      <c r="H193" s="48"/>
      <c r="I193" s="46"/>
      <c r="J193" s="48">
        <f>SmtRes!CZ24</f>
        <v>557.94000000000005</v>
      </c>
      <c r="K193" s="42"/>
      <c r="L193" s="48">
        <f>SmtRes!DG24</f>
        <v>72.53</v>
      </c>
    </row>
    <row r="194" spans="1:83" ht="28.5">
      <c r="A194" s="42"/>
      <c r="B194" s="42" t="s">
        <v>332</v>
      </c>
      <c r="C194" s="42" t="s">
        <v>486</v>
      </c>
      <c r="D194" s="43" t="s">
        <v>321</v>
      </c>
      <c r="E194" s="47">
        <f>SmtRes!DO24*SmtRes!AT24</f>
        <v>0.01</v>
      </c>
      <c r="F194" s="41"/>
      <c r="G194" s="47">
        <f>SmtRes!DO24*SmtRes!CX24</f>
        <v>0.13</v>
      </c>
      <c r="H194" s="48"/>
      <c r="I194" s="46"/>
      <c r="J194" s="48">
        <f>ROUND(SmtRes!AG24/SmtRes!DO24, 2)</f>
        <v>303.11</v>
      </c>
      <c r="K194" s="42"/>
      <c r="L194" s="48">
        <f>SmtRes!DH24</f>
        <v>39.4</v>
      </c>
      <c r="CE194">
        <v>1</v>
      </c>
    </row>
    <row r="195" spans="1:83" ht="15">
      <c r="A195" s="41"/>
      <c r="B195" s="45">
        <v>4</v>
      </c>
      <c r="C195" s="41" t="s">
        <v>488</v>
      </c>
      <c r="D195" s="43"/>
      <c r="E195" s="47"/>
      <c r="F195" s="45"/>
      <c r="G195" s="47"/>
      <c r="H195" s="45"/>
      <c r="I195" s="45"/>
      <c r="J195" s="45"/>
      <c r="K195" s="45"/>
      <c r="L195" s="49">
        <f>SUM(L196:L196)-SUMIF(CE196:CE196, 1, L196:L196)</f>
        <v>57.64</v>
      </c>
    </row>
    <row r="196" spans="1:83" ht="28.5">
      <c r="A196" s="42"/>
      <c r="B196" s="42" t="s">
        <v>333</v>
      </c>
      <c r="C196" s="50" t="s">
        <v>335</v>
      </c>
      <c r="D196" s="51" t="s">
        <v>37</v>
      </c>
      <c r="E196" s="52">
        <v>3.0000000000000001E-5</v>
      </c>
      <c r="F196" s="53"/>
      <c r="G196" s="52">
        <f>SmtRes!CX25</f>
        <v>3.8999999999999999E-4</v>
      </c>
      <c r="H196" s="54">
        <f>SmtRes!CZ25</f>
        <v>127406</v>
      </c>
      <c r="I196" s="55">
        <f>SmtRes!AI25</f>
        <v>1.1599999999999999</v>
      </c>
      <c r="J196" s="54">
        <f>ROUND(H196*I196, 2)</f>
        <v>147790.96</v>
      </c>
      <c r="K196" s="50"/>
      <c r="L196" s="54">
        <f>SmtRes!DF25</f>
        <v>57.64</v>
      </c>
    </row>
    <row r="197" spans="1:83" ht="15">
      <c r="A197" s="42"/>
      <c r="B197" s="42"/>
      <c r="C197" s="58" t="s">
        <v>489</v>
      </c>
      <c r="D197" s="43"/>
      <c r="E197" s="47"/>
      <c r="F197" s="41"/>
      <c r="G197" s="47"/>
      <c r="H197" s="48"/>
      <c r="I197" s="46"/>
      <c r="J197" s="48"/>
      <c r="K197" s="42"/>
      <c r="L197" s="48">
        <f>L187+L189+L190+L195</f>
        <v>3250.7299999999996</v>
      </c>
    </row>
    <row r="198" spans="1:83" ht="57">
      <c r="A198" s="40" t="s">
        <v>530</v>
      </c>
      <c r="B198" s="42" t="str">
        <f>Source!F135</f>
        <v>421/пр_2020_п.75_пп.а</v>
      </c>
      <c r="C198" s="42" t="str">
        <f>Source!G135</f>
        <v>Сметная стоимость вспомогательных ненормируемых материальных ресурсов, не учтенная в сметной норме, 2%</v>
      </c>
      <c r="D198" s="43" t="str">
        <f>Source!H135</f>
        <v>%</v>
      </c>
      <c r="E198" s="47">
        <f>SmtRes!AT26</f>
        <v>2</v>
      </c>
      <c r="F198" s="41"/>
      <c r="G198" s="47">
        <f>Source!I135</f>
        <v>2</v>
      </c>
      <c r="H198" s="48"/>
      <c r="I198" s="46"/>
      <c r="J198" s="48"/>
      <c r="K198" s="42"/>
      <c r="L198" s="48">
        <f>Source!P135</f>
        <v>56.81</v>
      </c>
      <c r="AD198">
        <f>ROUND((Source!AT135/100)*((ROUND(0*Source!I135, 2)+ROUND(0*Source!I135, 2))), 2)</f>
        <v>0</v>
      </c>
      <c r="AE198">
        <f>ROUND((Source!AU135/100)*((ROUND(0*Source!I135, 2)+ROUND(0*Source!I135, 2))), 2)</f>
        <v>0</v>
      </c>
      <c r="AN198">
        <f>L198</f>
        <v>56.81</v>
      </c>
      <c r="AW198">
        <f>L198</f>
        <v>56.81</v>
      </c>
      <c r="AZ198">
        <f>Source!X135</f>
        <v>0</v>
      </c>
      <c r="BA198">
        <f>Source!Y135</f>
        <v>0</v>
      </c>
      <c r="CD198">
        <v>4</v>
      </c>
    </row>
    <row r="199" spans="1:83" ht="14.25">
      <c r="A199" s="42"/>
      <c r="B199" s="42"/>
      <c r="C199" s="42" t="s">
        <v>491</v>
      </c>
      <c r="D199" s="43"/>
      <c r="E199" s="47"/>
      <c r="F199" s="41"/>
      <c r="G199" s="47"/>
      <c r="H199" s="48"/>
      <c r="I199" s="46"/>
      <c r="J199" s="48"/>
      <c r="K199" s="42"/>
      <c r="L199" s="48">
        <f>SUM(AR186:AR202)+SUM(AS186:AS202)+SUM(AT186:AT202)+SUM(AU186:AU202)+SUM(AV186:AV202)</f>
        <v>2932.99</v>
      </c>
    </row>
    <row r="200" spans="1:83" ht="28.5">
      <c r="A200" s="42"/>
      <c r="B200" s="42" t="s">
        <v>25</v>
      </c>
      <c r="C200" s="42" t="s">
        <v>492</v>
      </c>
      <c r="D200" s="43" t="s">
        <v>30</v>
      </c>
      <c r="E200" s="47">
        <f>Source!BZ134</f>
        <v>97</v>
      </c>
      <c r="F200" s="41"/>
      <c r="G200" s="47">
        <f>Source!AT134</f>
        <v>97</v>
      </c>
      <c r="H200" s="48"/>
      <c r="I200" s="46"/>
      <c r="J200" s="48"/>
      <c r="K200" s="42"/>
      <c r="L200" s="48">
        <f>SUM(AZ186:AZ202)</f>
        <v>2845</v>
      </c>
    </row>
    <row r="201" spans="1:83" ht="28.5">
      <c r="A201" s="50"/>
      <c r="B201" s="50" t="s">
        <v>26</v>
      </c>
      <c r="C201" s="50" t="s">
        <v>493</v>
      </c>
      <c r="D201" s="51" t="s">
        <v>30</v>
      </c>
      <c r="E201" s="52">
        <f>Source!CA134</f>
        <v>51</v>
      </c>
      <c r="F201" s="53"/>
      <c r="G201" s="52">
        <f>Source!AU134</f>
        <v>51</v>
      </c>
      <c r="H201" s="54"/>
      <c r="I201" s="55"/>
      <c r="J201" s="54"/>
      <c r="K201" s="50"/>
      <c r="L201" s="54">
        <f>SUM(BA186:BA202)</f>
        <v>1495.82</v>
      </c>
    </row>
    <row r="202" spans="1:83" ht="15">
      <c r="C202" s="111" t="s">
        <v>494</v>
      </c>
      <c r="D202" s="111"/>
      <c r="E202" s="111"/>
      <c r="F202" s="111"/>
      <c r="G202" s="111"/>
      <c r="H202" s="111"/>
      <c r="I202" s="112">
        <f>K202/E186</f>
        <v>588.33538461538456</v>
      </c>
      <c r="J202" s="112"/>
      <c r="K202" s="112">
        <f>L187+L189+L195+L200+L201+L190+SUM(L198:L198)</f>
        <v>7648.36</v>
      </c>
      <c r="L202" s="112"/>
      <c r="AD202">
        <f>ROUND((Source!AT134/100)*((ROUND(SUMIF(SmtRes!AQ21:'SmtRes'!AQ26,"=1",SmtRes!AD21:'SmtRes'!AD26)*Source!I134, 2)+ROUND(SUMIF(SmtRes!AQ21:'SmtRes'!AQ26,"=1",SmtRes!AC21:'SmtRes'!AC26)*Source!I134, 2))), 2)</f>
        <v>12892.84</v>
      </c>
      <c r="AE202">
        <f>ROUND((Source!AU134/100)*((ROUND(SUMIF(SmtRes!AQ21:'SmtRes'!AQ26,"=1",SmtRes!AD21:'SmtRes'!AD26)*Source!I134, 2)+ROUND(SUMIF(SmtRes!AQ21:'SmtRes'!AQ26,"=1",SmtRes!AC21:'SmtRes'!AC26)*Source!I134, 2))), 2)</f>
        <v>6778.71</v>
      </c>
      <c r="AN202" s="56">
        <f>L187+L189+L195+L200+L201+L190</f>
        <v>7591.5499999999993</v>
      </c>
      <c r="AO202" s="56">
        <f>L189</f>
        <v>260.10000000000002</v>
      </c>
      <c r="AQ202" t="s">
        <v>495</v>
      </c>
      <c r="AR202" s="56">
        <f>L187</f>
        <v>2840.66</v>
      </c>
      <c r="AT202" s="56">
        <f>L190</f>
        <v>92.33</v>
      </c>
      <c r="AV202" t="s">
        <v>495</v>
      </c>
      <c r="AW202" s="56">
        <f>L195</f>
        <v>57.64</v>
      </c>
      <c r="AZ202">
        <f>Source!X134</f>
        <v>2845</v>
      </c>
      <c r="BA202">
        <f>Source!Y134</f>
        <v>1495.82</v>
      </c>
      <c r="CD202">
        <v>2</v>
      </c>
    </row>
    <row r="203" spans="1:83" ht="42.75">
      <c r="A203" s="40" t="s">
        <v>150</v>
      </c>
      <c r="B203" s="42" t="s">
        <v>499</v>
      </c>
      <c r="C203" s="42" t="str">
        <f>Source!G136</f>
        <v>Присоединение к зажимам жил проводов или кабелей сечением: до 16 мм2</v>
      </c>
      <c r="D203" s="43" t="str">
        <f>Source!H136</f>
        <v>100 ШТ</v>
      </c>
      <c r="E203" s="47">
        <f>Source!K136</f>
        <v>1.04</v>
      </c>
      <c r="F203" s="41"/>
      <c r="G203" s="47">
        <f>Source!I136</f>
        <v>1.04</v>
      </c>
      <c r="H203" s="48"/>
      <c r="I203" s="46"/>
      <c r="J203" s="48"/>
      <c r="K203" s="42"/>
      <c r="L203" s="48"/>
    </row>
    <row r="204" spans="1:83">
      <c r="C204" s="60" t="str">
        <f>"Объем: "&amp;Source!I136&amp;"=104/"&amp;"100"</f>
        <v>Объем: 1,04=104/100</v>
      </c>
    </row>
    <row r="205" spans="1:83" ht="15">
      <c r="A205" s="41"/>
      <c r="B205" s="45">
        <v>1</v>
      </c>
      <c r="C205" s="41" t="s">
        <v>483</v>
      </c>
      <c r="D205" s="43" t="s">
        <v>321</v>
      </c>
      <c r="E205" s="47"/>
      <c r="F205" s="45"/>
      <c r="G205" s="47">
        <f>Source!U136</f>
        <v>12.6464</v>
      </c>
      <c r="H205" s="45"/>
      <c r="I205" s="45"/>
      <c r="J205" s="45"/>
      <c r="K205" s="45"/>
      <c r="L205" s="49">
        <f>SUM(L206:L206)-SUMIF(CE206:CE206, 1, L206:L206)</f>
        <v>3747.38</v>
      </c>
    </row>
    <row r="206" spans="1:83" ht="28.5">
      <c r="A206" s="42"/>
      <c r="B206" s="42" t="s">
        <v>361</v>
      </c>
      <c r="C206" s="50" t="s">
        <v>362</v>
      </c>
      <c r="D206" s="51" t="s">
        <v>321</v>
      </c>
      <c r="E206" s="52">
        <v>12.16</v>
      </c>
      <c r="F206" s="53"/>
      <c r="G206" s="52">
        <f>SmtRes!CX27</f>
        <v>12.6464</v>
      </c>
      <c r="H206" s="54"/>
      <c r="I206" s="55"/>
      <c r="J206" s="54">
        <f>SmtRes!CZ27</f>
        <v>296.32</v>
      </c>
      <c r="K206" s="50"/>
      <c r="L206" s="54">
        <f>SmtRes!DI27</f>
        <v>3747.38</v>
      </c>
    </row>
    <row r="207" spans="1:83" ht="15">
      <c r="A207" s="42"/>
      <c r="B207" s="42"/>
      <c r="C207" s="58" t="s">
        <v>489</v>
      </c>
      <c r="D207" s="43"/>
      <c r="E207" s="47"/>
      <c r="F207" s="41"/>
      <c r="G207" s="47"/>
      <c r="H207" s="48"/>
      <c r="I207" s="46"/>
      <c r="J207" s="48"/>
      <c r="K207" s="42"/>
      <c r="L207" s="48">
        <f>L205</f>
        <v>3747.38</v>
      </c>
    </row>
    <row r="208" spans="1:83" ht="57">
      <c r="A208" s="40" t="s">
        <v>531</v>
      </c>
      <c r="B208" s="42" t="str">
        <f>Source!F137</f>
        <v>421/пр_2020_п.75_пп.а</v>
      </c>
      <c r="C208" s="42" t="str">
        <f>Source!G137</f>
        <v>Сметная стоимость вспомогательных ненормируемых материальных ресурсов, не учтенная в сметной норме, 2%</v>
      </c>
      <c r="D208" s="43" t="str">
        <f>Source!H137</f>
        <v>%</v>
      </c>
      <c r="E208" s="47">
        <f>SmtRes!AT28</f>
        <v>2</v>
      </c>
      <c r="F208" s="41"/>
      <c r="G208" s="47">
        <f>Source!I137</f>
        <v>2</v>
      </c>
      <c r="H208" s="48"/>
      <c r="I208" s="46"/>
      <c r="J208" s="48"/>
      <c r="K208" s="42"/>
      <c r="L208" s="48">
        <f>Source!P137</f>
        <v>74.95</v>
      </c>
      <c r="AD208">
        <f>ROUND((Source!AT137/100)*((ROUND(0*Source!I137, 2)+ROUND(0*Source!I137, 2))), 2)</f>
        <v>0</v>
      </c>
      <c r="AE208">
        <f>ROUND((Source!AU137/100)*((ROUND(0*Source!I137, 2)+ROUND(0*Source!I137, 2))), 2)</f>
        <v>0</v>
      </c>
      <c r="AN208">
        <f>L208</f>
        <v>74.95</v>
      </c>
      <c r="AW208">
        <f>L208</f>
        <v>74.95</v>
      </c>
      <c r="AZ208">
        <f>Source!X137</f>
        <v>0</v>
      </c>
      <c r="BA208">
        <f>Source!Y137</f>
        <v>0</v>
      </c>
      <c r="CD208">
        <v>4</v>
      </c>
    </row>
    <row r="209" spans="1:82" ht="14.25">
      <c r="A209" s="42"/>
      <c r="B209" s="42"/>
      <c r="C209" s="42" t="s">
        <v>491</v>
      </c>
      <c r="D209" s="43"/>
      <c r="E209" s="47"/>
      <c r="F209" s="41"/>
      <c r="G209" s="47"/>
      <c r="H209" s="48"/>
      <c r="I209" s="46"/>
      <c r="J209" s="48"/>
      <c r="K209" s="42"/>
      <c r="L209" s="48">
        <f>SUM(AR203:AR212)+SUM(AS203:AS212)+SUM(AT203:AT212)+SUM(AU203:AU212)+SUM(AV203:AV212)</f>
        <v>3747.38</v>
      </c>
    </row>
    <row r="210" spans="1:82" ht="28.5">
      <c r="A210" s="42"/>
      <c r="B210" s="42" t="s">
        <v>25</v>
      </c>
      <c r="C210" s="42" t="s">
        <v>492</v>
      </c>
      <c r="D210" s="43" t="s">
        <v>30</v>
      </c>
      <c r="E210" s="47">
        <f>Source!BZ136</f>
        <v>97</v>
      </c>
      <c r="F210" s="41"/>
      <c r="G210" s="47">
        <f>Source!AT136</f>
        <v>97</v>
      </c>
      <c r="H210" s="48"/>
      <c r="I210" s="46"/>
      <c r="J210" s="48"/>
      <c r="K210" s="42"/>
      <c r="L210" s="48">
        <f>SUM(AZ203:AZ212)</f>
        <v>3634.96</v>
      </c>
    </row>
    <row r="211" spans="1:82" ht="28.5">
      <c r="A211" s="50"/>
      <c r="B211" s="50" t="s">
        <v>26</v>
      </c>
      <c r="C211" s="50" t="s">
        <v>493</v>
      </c>
      <c r="D211" s="51" t="s">
        <v>30</v>
      </c>
      <c r="E211" s="52">
        <f>Source!CA136</f>
        <v>51</v>
      </c>
      <c r="F211" s="53"/>
      <c r="G211" s="52">
        <f>Source!AU136</f>
        <v>51</v>
      </c>
      <c r="H211" s="54"/>
      <c r="I211" s="55"/>
      <c r="J211" s="54"/>
      <c r="K211" s="50"/>
      <c r="L211" s="54">
        <f>SUM(BA203:BA212)</f>
        <v>1911.16</v>
      </c>
    </row>
    <row r="212" spans="1:82" ht="15">
      <c r="C212" s="111" t="s">
        <v>494</v>
      </c>
      <c r="D212" s="111"/>
      <c r="E212" s="111"/>
      <c r="F212" s="111"/>
      <c r="G212" s="111"/>
      <c r="H212" s="111"/>
      <c r="I212" s="112">
        <f>K212/E203</f>
        <v>9008.125</v>
      </c>
      <c r="J212" s="112"/>
      <c r="K212" s="112">
        <f>L205+L210+L211+SUM(L208:L208)</f>
        <v>9368.4500000000007</v>
      </c>
      <c r="L212" s="112"/>
      <c r="AD212">
        <f>ROUND((Source!AT136/100)*((ROUND(SUMIF(SmtRes!AQ27:'SmtRes'!AQ28,"=1",SmtRes!AD27:'SmtRes'!AD28)*Source!I136, 2)+ROUND(SUMIF(SmtRes!AQ27:'SmtRes'!AQ28,"=1",SmtRes!AC27:'SmtRes'!AC28)*Source!I136, 2))), 2)</f>
        <v>298.92</v>
      </c>
      <c r="AE212">
        <f>ROUND((Source!AU136/100)*((ROUND(SUMIF(SmtRes!AQ27:'SmtRes'!AQ28,"=1",SmtRes!AD27:'SmtRes'!AD28)*Source!I136, 2)+ROUND(SUMIF(SmtRes!AQ27:'SmtRes'!AQ28,"=1",SmtRes!AC27:'SmtRes'!AC28)*Source!I136, 2))), 2)</f>
        <v>157.16999999999999</v>
      </c>
      <c r="AN212" s="56">
        <f>L205+L210+L211</f>
        <v>9293.5</v>
      </c>
      <c r="AO212">
        <f>0</f>
        <v>0</v>
      </c>
      <c r="AQ212" t="s">
        <v>495</v>
      </c>
      <c r="AR212" s="56">
        <f>L205</f>
        <v>3747.38</v>
      </c>
      <c r="AT212">
        <f>0</f>
        <v>0</v>
      </c>
      <c r="AV212" t="s">
        <v>495</v>
      </c>
      <c r="AW212">
        <f>0</f>
        <v>0</v>
      </c>
      <c r="AZ212">
        <f>Source!X136</f>
        <v>3634.96</v>
      </c>
      <c r="BA212">
        <f>Source!Y136</f>
        <v>1911.16</v>
      </c>
      <c r="CD212">
        <v>2</v>
      </c>
    </row>
    <row r="214" spans="1:82" ht="15">
      <c r="A214" s="62"/>
      <c r="B214" s="63"/>
      <c r="C214" s="129" t="s">
        <v>501</v>
      </c>
      <c r="D214" s="129"/>
      <c r="E214" s="129"/>
      <c r="F214" s="129"/>
      <c r="G214" s="129"/>
      <c r="H214" s="129"/>
      <c r="I214" s="49"/>
      <c r="J214" s="62"/>
      <c r="K214" s="64"/>
      <c r="L214" s="49">
        <f>L216+L217+L223+L227</f>
        <v>7129.87</v>
      </c>
    </row>
    <row r="215" spans="1:82" ht="14.25">
      <c r="A215" s="59"/>
      <c r="B215" s="61"/>
      <c r="C215" s="128" t="s">
        <v>502</v>
      </c>
      <c r="D215" s="127"/>
      <c r="E215" s="127"/>
      <c r="F215" s="127"/>
      <c r="G215" s="127"/>
      <c r="H215" s="127"/>
      <c r="I215" s="48"/>
      <c r="J215" s="59"/>
      <c r="K215" s="45"/>
      <c r="L215" s="48"/>
    </row>
    <row r="216" spans="1:82" ht="14.25">
      <c r="A216" s="59"/>
      <c r="B216" s="61"/>
      <c r="C216" s="127" t="s">
        <v>503</v>
      </c>
      <c r="D216" s="127"/>
      <c r="E216" s="127"/>
      <c r="F216" s="127"/>
      <c r="G216" s="127"/>
      <c r="H216" s="127"/>
      <c r="I216" s="48"/>
      <c r="J216" s="59"/>
      <c r="K216" s="45"/>
      <c r="L216" s="48">
        <f>SUM(AR185:AR212)</f>
        <v>6588.04</v>
      </c>
    </row>
    <row r="217" spans="1:82" ht="14.25" hidden="1">
      <c r="A217" s="59"/>
      <c r="B217" s="61"/>
      <c r="C217" s="127" t="s">
        <v>504</v>
      </c>
      <c r="D217" s="127"/>
      <c r="E217" s="127"/>
      <c r="F217" s="127"/>
      <c r="G217" s="127"/>
      <c r="H217" s="127"/>
      <c r="I217" s="48"/>
      <c r="J217" s="59"/>
      <c r="K217" s="45"/>
      <c r="L217" s="48">
        <f>L219+L222+L221</f>
        <v>352.43</v>
      </c>
    </row>
    <row r="218" spans="1:82" ht="14.25" hidden="1">
      <c r="A218" s="59"/>
      <c r="B218" s="61"/>
      <c r="C218" s="128" t="s">
        <v>505</v>
      </c>
      <c r="D218" s="127"/>
      <c r="E218" s="127"/>
      <c r="F218" s="127"/>
      <c r="G218" s="127"/>
      <c r="H218" s="127"/>
      <c r="I218" s="48"/>
      <c r="J218" s="59"/>
      <c r="K218" s="45"/>
      <c r="L218" s="48"/>
    </row>
    <row r="219" spans="1:82" ht="14.25">
      <c r="A219" s="59"/>
      <c r="B219" s="61"/>
      <c r="C219" s="127" t="s">
        <v>504</v>
      </c>
      <c r="D219" s="127"/>
      <c r="E219" s="127"/>
      <c r="F219" s="127"/>
      <c r="G219" s="127"/>
      <c r="H219" s="127"/>
      <c r="I219" s="48"/>
      <c r="J219" s="59"/>
      <c r="K219" s="45"/>
      <c r="L219" s="48">
        <f>SUM(AO185:AO212)</f>
        <v>260.10000000000002</v>
      </c>
    </row>
    <row r="220" spans="1:82" ht="14.25" hidden="1">
      <c r="A220" s="59"/>
      <c r="B220" s="61"/>
      <c r="C220" s="128" t="s">
        <v>506</v>
      </c>
      <c r="D220" s="127"/>
      <c r="E220" s="127"/>
      <c r="F220" s="127"/>
      <c r="G220" s="127"/>
      <c r="H220" s="127"/>
      <c r="I220" s="48"/>
      <c r="J220" s="59"/>
      <c r="K220" s="45"/>
      <c r="L220" s="48"/>
    </row>
    <row r="221" spans="1:82" ht="14.25">
      <c r="A221" s="59"/>
      <c r="B221" s="61"/>
      <c r="C221" s="127" t="s">
        <v>526</v>
      </c>
      <c r="D221" s="127"/>
      <c r="E221" s="127"/>
      <c r="F221" s="127"/>
      <c r="G221" s="127"/>
      <c r="H221" s="127"/>
      <c r="I221" s="48"/>
      <c r="J221" s="59"/>
      <c r="K221" s="45"/>
      <c r="L221" s="48">
        <f>SUM(AT185:AT212)</f>
        <v>92.33</v>
      </c>
    </row>
    <row r="222" spans="1:82" ht="14.25" hidden="1">
      <c r="A222" s="59"/>
      <c r="B222" s="61"/>
      <c r="C222" s="127" t="s">
        <v>507</v>
      </c>
      <c r="D222" s="127"/>
      <c r="E222" s="127"/>
      <c r="F222" s="127"/>
      <c r="G222" s="127"/>
      <c r="H222" s="127"/>
      <c r="I222" s="48"/>
      <c r="J222" s="59"/>
      <c r="K222" s="45"/>
      <c r="L222" s="48">
        <f>SUM(AV185:AV212)</f>
        <v>0</v>
      </c>
    </row>
    <row r="223" spans="1:82" ht="14.25">
      <c r="A223" s="59"/>
      <c r="B223" s="61"/>
      <c r="C223" s="127" t="s">
        <v>508</v>
      </c>
      <c r="D223" s="127"/>
      <c r="E223" s="127"/>
      <c r="F223" s="127"/>
      <c r="G223" s="127"/>
      <c r="H223" s="127"/>
      <c r="I223" s="48"/>
      <c r="J223" s="59"/>
      <c r="K223" s="45"/>
      <c r="L223" s="48">
        <f>L225+L226</f>
        <v>189.4</v>
      </c>
    </row>
    <row r="224" spans="1:82" ht="14.25">
      <c r="A224" s="59"/>
      <c r="B224" s="61"/>
      <c r="C224" s="128" t="s">
        <v>505</v>
      </c>
      <c r="D224" s="127"/>
      <c r="E224" s="127"/>
      <c r="F224" s="127"/>
      <c r="G224" s="127"/>
      <c r="H224" s="127"/>
      <c r="I224" s="48"/>
      <c r="J224" s="59"/>
      <c r="K224" s="45"/>
      <c r="L224" s="48"/>
    </row>
    <row r="225" spans="1:12" ht="14.25">
      <c r="A225" s="59"/>
      <c r="B225" s="61"/>
      <c r="C225" s="127" t="s">
        <v>509</v>
      </c>
      <c r="D225" s="127"/>
      <c r="E225" s="127"/>
      <c r="F225" s="127"/>
      <c r="G225" s="127"/>
      <c r="H225" s="127"/>
      <c r="I225" s="48"/>
      <c r="J225" s="59"/>
      <c r="K225" s="45"/>
      <c r="L225" s="48">
        <f>SUM(AW185:AW212)-SUM(BK185:BK212)</f>
        <v>189.4</v>
      </c>
    </row>
    <row r="226" spans="1:12" ht="14.25" hidden="1">
      <c r="A226" s="59"/>
      <c r="B226" s="61"/>
      <c r="C226" s="127" t="s">
        <v>510</v>
      </c>
      <c r="D226" s="127"/>
      <c r="E226" s="127"/>
      <c r="F226" s="127"/>
      <c r="G226" s="127"/>
      <c r="H226" s="127"/>
      <c r="I226" s="48"/>
      <c r="J226" s="59"/>
      <c r="K226" s="45"/>
      <c r="L226" s="48">
        <f>SUM(BC185:BC212)</f>
        <v>0</v>
      </c>
    </row>
    <row r="227" spans="1:12" ht="14.25" hidden="1">
      <c r="A227" s="59"/>
      <c r="B227" s="61"/>
      <c r="C227" s="127" t="s">
        <v>511</v>
      </c>
      <c r="D227" s="127"/>
      <c r="E227" s="127"/>
      <c r="F227" s="127"/>
      <c r="G227" s="127"/>
      <c r="H227" s="127"/>
      <c r="I227" s="48"/>
      <c r="J227" s="59"/>
      <c r="K227" s="45"/>
      <c r="L227" s="48">
        <f>SUM(BB185:BB212)</f>
        <v>0</v>
      </c>
    </row>
    <row r="228" spans="1:12" ht="14.25">
      <c r="A228" s="59"/>
      <c r="B228" s="61"/>
      <c r="C228" s="127" t="s">
        <v>512</v>
      </c>
      <c r="D228" s="127"/>
      <c r="E228" s="127"/>
      <c r="F228" s="127"/>
      <c r="G228" s="127"/>
      <c r="H228" s="127"/>
      <c r="I228" s="48"/>
      <c r="J228" s="59"/>
      <c r="K228" s="45"/>
      <c r="L228" s="48">
        <f>SUM(AR185:AR212)+SUM(AT185:AT212)+SUM(AV185:AV212)</f>
        <v>6680.37</v>
      </c>
    </row>
    <row r="229" spans="1:12" ht="14.25">
      <c r="A229" s="59"/>
      <c r="B229" s="61"/>
      <c r="C229" s="127" t="s">
        <v>513</v>
      </c>
      <c r="D229" s="127"/>
      <c r="E229" s="127"/>
      <c r="F229" s="127"/>
      <c r="G229" s="127"/>
      <c r="H229" s="127"/>
      <c r="I229" s="48"/>
      <c r="J229" s="59"/>
      <c r="K229" s="45"/>
      <c r="L229" s="48">
        <f>SUM(AZ185:AZ212)</f>
        <v>6479.96</v>
      </c>
    </row>
    <row r="230" spans="1:12" ht="14.25">
      <c r="A230" s="59"/>
      <c r="B230" s="61"/>
      <c r="C230" s="127" t="s">
        <v>514</v>
      </c>
      <c r="D230" s="127"/>
      <c r="E230" s="127"/>
      <c r="F230" s="127"/>
      <c r="G230" s="127"/>
      <c r="H230" s="127"/>
      <c r="I230" s="48"/>
      <c r="J230" s="59"/>
      <c r="K230" s="45"/>
      <c r="L230" s="48">
        <f>SUM(BA185:BA212)</f>
        <v>3406.98</v>
      </c>
    </row>
    <row r="231" spans="1:12" ht="14.25" hidden="1">
      <c r="A231" s="59"/>
      <c r="B231" s="61"/>
      <c r="C231" s="127" t="s">
        <v>515</v>
      </c>
      <c r="D231" s="127"/>
      <c r="E231" s="127"/>
      <c r="F231" s="127"/>
      <c r="G231" s="127"/>
      <c r="H231" s="127"/>
      <c r="I231" s="48"/>
      <c r="J231" s="59"/>
      <c r="K231" s="45"/>
      <c r="L231" s="48">
        <f>L233+L234</f>
        <v>0</v>
      </c>
    </row>
    <row r="232" spans="1:12" ht="14.25" hidden="1">
      <c r="A232" s="59"/>
      <c r="B232" s="61"/>
      <c r="C232" s="128" t="s">
        <v>502</v>
      </c>
      <c r="D232" s="127"/>
      <c r="E232" s="127"/>
      <c r="F232" s="127"/>
      <c r="G232" s="127"/>
      <c r="H232" s="127"/>
      <c r="I232" s="48"/>
      <c r="J232" s="59"/>
      <c r="K232" s="45"/>
      <c r="L232" s="48"/>
    </row>
    <row r="233" spans="1:12" ht="14.25" hidden="1">
      <c r="A233" s="59"/>
      <c r="B233" s="61"/>
      <c r="C233" s="127" t="s">
        <v>516</v>
      </c>
      <c r="D233" s="127"/>
      <c r="E233" s="127"/>
      <c r="F233" s="127"/>
      <c r="G233" s="127"/>
      <c r="H233" s="127"/>
      <c r="I233" s="48"/>
      <c r="J233" s="59"/>
      <c r="K233" s="45"/>
      <c r="L233" s="48">
        <f>SUM(BK185:BK212)</f>
        <v>0</v>
      </c>
    </row>
    <row r="234" spans="1:12" ht="14.25" hidden="1">
      <c r="A234" s="59"/>
      <c r="B234" s="61"/>
      <c r="C234" s="127" t="s">
        <v>517</v>
      </c>
      <c r="D234" s="127"/>
      <c r="E234" s="127"/>
      <c r="F234" s="127"/>
      <c r="G234" s="127"/>
      <c r="H234" s="127"/>
      <c r="I234" s="48"/>
      <c r="J234" s="59"/>
      <c r="K234" s="45"/>
      <c r="L234" s="48">
        <f>SUM(BD185:BD212)</f>
        <v>0</v>
      </c>
    </row>
    <row r="235" spans="1:12" ht="14.25" hidden="1">
      <c r="A235" s="59"/>
      <c r="B235" s="61"/>
      <c r="C235" s="127" t="s">
        <v>518</v>
      </c>
      <c r="D235" s="127"/>
      <c r="E235" s="127"/>
      <c r="F235" s="127"/>
      <c r="G235" s="127"/>
      <c r="H235" s="127"/>
      <c r="I235" s="48"/>
      <c r="J235" s="59"/>
      <c r="K235" s="45"/>
      <c r="L235" s="48"/>
    </row>
    <row r="236" spans="1:12" ht="14.25" hidden="1">
      <c r="A236" s="59"/>
      <c r="B236" s="61"/>
      <c r="C236" s="127" t="s">
        <v>519</v>
      </c>
      <c r="D236" s="127"/>
      <c r="E236" s="127"/>
      <c r="F236" s="127"/>
      <c r="G236" s="127"/>
      <c r="H236" s="127"/>
      <c r="I236" s="48"/>
      <c r="J236" s="59"/>
      <c r="K236" s="45"/>
      <c r="L236" s="48">
        <f>SUM(BO185:BO212)</f>
        <v>0</v>
      </c>
    </row>
    <row r="237" spans="1:12" ht="15">
      <c r="A237" s="62"/>
      <c r="B237" s="63"/>
      <c r="C237" s="129" t="s">
        <v>520</v>
      </c>
      <c r="D237" s="129"/>
      <c r="E237" s="129"/>
      <c r="F237" s="129"/>
      <c r="G237" s="129"/>
      <c r="H237" s="129"/>
      <c r="I237" s="49"/>
      <c r="J237" s="62"/>
      <c r="K237" s="64"/>
      <c r="L237" s="49">
        <f>L214+L229+L230+L231+L235+L236</f>
        <v>17016.810000000001</v>
      </c>
    </row>
    <row r="238" spans="1:12" ht="14.25">
      <c r="A238" s="59"/>
      <c r="B238" s="61"/>
      <c r="C238" s="128" t="s">
        <v>521</v>
      </c>
      <c r="D238" s="127"/>
      <c r="E238" s="127"/>
      <c r="F238" s="127"/>
      <c r="G238" s="127"/>
      <c r="H238" s="127"/>
      <c r="I238" s="48"/>
      <c r="J238" s="59"/>
      <c r="K238" s="45"/>
      <c r="L238" s="48"/>
    </row>
    <row r="239" spans="1:12" ht="14.25" hidden="1">
      <c r="A239" s="59"/>
      <c r="B239" s="61"/>
      <c r="C239" s="127" t="s">
        <v>522</v>
      </c>
      <c r="D239" s="127"/>
      <c r="E239" s="127"/>
      <c r="F239" s="127"/>
      <c r="G239" s="127"/>
      <c r="H239" s="127"/>
      <c r="I239" s="48"/>
      <c r="J239" s="59"/>
      <c r="K239" s="45"/>
      <c r="L239" s="48">
        <f>SUM(AX185:AX212)</f>
        <v>0</v>
      </c>
    </row>
    <row r="240" spans="1:12" ht="14.25" hidden="1">
      <c r="A240" s="59"/>
      <c r="B240" s="61"/>
      <c r="C240" s="127" t="s">
        <v>523</v>
      </c>
      <c r="D240" s="127"/>
      <c r="E240" s="127"/>
      <c r="F240" s="127"/>
      <c r="G240" s="127"/>
      <c r="H240" s="127"/>
      <c r="I240" s="48"/>
      <c r="J240" s="59"/>
      <c r="K240" s="45"/>
      <c r="L240" s="48">
        <f>SUM(AY185:AY212)</f>
        <v>0</v>
      </c>
    </row>
    <row r="241" spans="1:82" ht="14.25">
      <c r="A241" s="59"/>
      <c r="B241" s="61"/>
      <c r="C241" s="127" t="s">
        <v>524</v>
      </c>
      <c r="D241" s="127"/>
      <c r="E241" s="127"/>
      <c r="F241" s="130"/>
      <c r="G241" s="47">
        <f>Source!F161</f>
        <v>21.746400000000001</v>
      </c>
      <c r="H241" s="59"/>
      <c r="I241" s="59"/>
      <c r="J241" s="59"/>
      <c r="K241" s="59"/>
      <c r="L241" s="59"/>
    </row>
    <row r="242" spans="1:82" ht="14.25">
      <c r="A242" s="59"/>
      <c r="B242" s="61"/>
      <c r="C242" s="127" t="s">
        <v>525</v>
      </c>
      <c r="D242" s="127"/>
      <c r="E242" s="127"/>
      <c r="F242" s="130"/>
      <c r="G242" s="47">
        <f>Source!F162</f>
        <v>0.26</v>
      </c>
      <c r="H242" s="59"/>
      <c r="I242" s="59"/>
      <c r="J242" s="59"/>
      <c r="K242" s="59"/>
      <c r="L242" s="59"/>
    </row>
    <row r="244" spans="1:82" ht="14.25">
      <c r="C244" s="131" t="str">
        <f>Source!H178</f>
        <v>НДС 20%</v>
      </c>
      <c r="D244" s="131"/>
      <c r="E244" s="131"/>
      <c r="F244" s="131"/>
      <c r="G244" s="131"/>
      <c r="H244" s="131"/>
      <c r="I244" s="131"/>
      <c r="J244" s="131"/>
      <c r="K244" s="131"/>
      <c r="L244" s="57">
        <f>IF(Source!Y178=0, "", Source!Y178)</f>
        <v>3403.36</v>
      </c>
    </row>
    <row r="245" spans="1:82" ht="14.25">
      <c r="C245" s="131" t="str">
        <f>Source!H179</f>
        <v>ИТОГО с НДС</v>
      </c>
      <c r="D245" s="131"/>
      <c r="E245" s="131"/>
      <c r="F245" s="131"/>
      <c r="G245" s="131"/>
      <c r="H245" s="131"/>
      <c r="I245" s="131"/>
      <c r="J245" s="131"/>
      <c r="K245" s="131"/>
      <c r="L245" s="57">
        <f>IF(Source!Y179=0, "", Source!Y179)</f>
        <v>20420.169999999998</v>
      </c>
    </row>
    <row r="247" spans="1:82" ht="16.5">
      <c r="A247" s="110" t="s">
        <v>527</v>
      </c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</row>
    <row r="248" spans="1:82" ht="42.75">
      <c r="A248" s="65" t="s">
        <v>152</v>
      </c>
      <c r="B248" s="50" t="str">
        <f>Source!F185</f>
        <v>цена поставщика</v>
      </c>
      <c r="C248" s="50" t="str">
        <f>Source!G185</f>
        <v>Трехфазный счетчик прямого включения:AD13S.1-BL-Z-R-TX (1-1-1)етчик электрический (в комплекте)</v>
      </c>
      <c r="D248" s="51" t="str">
        <f>Source!H185</f>
        <v>ШТ</v>
      </c>
      <c r="E248" s="52">
        <f>Source!K185</f>
        <v>13</v>
      </c>
      <c r="F248" s="53"/>
      <c r="G248" s="52">
        <f>Source!I185</f>
        <v>13</v>
      </c>
      <c r="H248" s="54">
        <f>Source!AL185</f>
        <v>23300</v>
      </c>
      <c r="I248" s="55"/>
      <c r="J248" s="54"/>
      <c r="K248" s="50"/>
      <c r="L248" s="54">
        <f>Source!P185</f>
        <v>302900</v>
      </c>
    </row>
    <row r="249" spans="1:82" ht="15">
      <c r="C249" s="111" t="s">
        <v>494</v>
      </c>
      <c r="D249" s="111"/>
      <c r="E249" s="111"/>
      <c r="F249" s="111"/>
      <c r="G249" s="111"/>
      <c r="H249" s="111"/>
      <c r="I249" s="112">
        <f>K249/E248</f>
        <v>23300</v>
      </c>
      <c r="J249" s="112"/>
      <c r="K249" s="112">
        <f>L248</f>
        <v>302900</v>
      </c>
      <c r="L249" s="112"/>
      <c r="AD249">
        <f>ROUND((Source!AT185/100)*((ROUND(ROUND(Source!AO185,2)*Source!I185, 2)+ROUND(ROUND(Source!AN185,2)*Source!I185, 2))), 2)</f>
        <v>0</v>
      </c>
      <c r="AE249">
        <f>ROUND((Source!AU185/100)*((ROUND(ROUND(Source!AO185,2)*Source!I185, 2)+ROUND(ROUND(Source!AN185,2)*Source!I185, 2))), 2)</f>
        <v>0</v>
      </c>
      <c r="AN249" s="56">
        <f>L248</f>
        <v>302900</v>
      </c>
      <c r="AO249">
        <f>0</f>
        <v>0</v>
      </c>
      <c r="AQ249" t="s">
        <v>495</v>
      </c>
      <c r="AR249">
        <f>0</f>
        <v>0</v>
      </c>
      <c r="AT249">
        <f>0</f>
        <v>0</v>
      </c>
      <c r="AV249" t="s">
        <v>495</v>
      </c>
      <c r="AW249" s="56">
        <f>L248</f>
        <v>302900</v>
      </c>
      <c r="AZ249">
        <f>Source!X185</f>
        <v>0</v>
      </c>
      <c r="BA249">
        <f>Source!Y185</f>
        <v>0</v>
      </c>
      <c r="CD249">
        <v>1</v>
      </c>
    </row>
    <row r="250" spans="1:82" ht="57">
      <c r="A250" s="65" t="s">
        <v>154</v>
      </c>
      <c r="B250" s="50" t="str">
        <f>Source!F186</f>
        <v>цена поставщика</v>
      </c>
      <c r="C250" s="50" t="str">
        <f>Source!G186</f>
        <v>Провода самонесущие изолированные для воздушных линий электропередачи с алюминиевыми жилами марки:СИП-4 2х16-0,6/1,0</v>
      </c>
      <c r="D250" s="51" t="str">
        <f>Source!H186</f>
        <v>м</v>
      </c>
      <c r="E250" s="52">
        <f>Source!K186</f>
        <v>52</v>
      </c>
      <c r="F250" s="53"/>
      <c r="G250" s="52">
        <f>Source!I186</f>
        <v>52</v>
      </c>
      <c r="H250" s="54">
        <f>Source!AL186</f>
        <v>36.67</v>
      </c>
      <c r="I250" s="55"/>
      <c r="J250" s="54"/>
      <c r="K250" s="50"/>
      <c r="L250" s="54">
        <f>Source!P186</f>
        <v>1906.84</v>
      </c>
    </row>
    <row r="251" spans="1:82" ht="15">
      <c r="C251" s="111" t="s">
        <v>494</v>
      </c>
      <c r="D251" s="111"/>
      <c r="E251" s="111"/>
      <c r="F251" s="111"/>
      <c r="G251" s="111"/>
      <c r="H251" s="111"/>
      <c r="I251" s="112">
        <f>K251/E250</f>
        <v>36.67</v>
      </c>
      <c r="J251" s="112"/>
      <c r="K251" s="112">
        <f>L250</f>
        <v>1906.84</v>
      </c>
      <c r="L251" s="112"/>
      <c r="AD251">
        <f>ROUND((Source!AT186/100)*((ROUND(ROUND(Source!AO186,2)*Source!I186, 2)+ROUND(ROUND(Source!AN186,2)*Source!I186, 2))), 2)</f>
        <v>0</v>
      </c>
      <c r="AE251">
        <f>ROUND((Source!AU186/100)*((ROUND(ROUND(Source!AO186,2)*Source!I186, 2)+ROUND(ROUND(Source!AN186,2)*Source!I186, 2))), 2)</f>
        <v>0</v>
      </c>
      <c r="AN251" s="56">
        <f>L250</f>
        <v>1906.84</v>
      </c>
      <c r="AO251">
        <f>0</f>
        <v>0</v>
      </c>
      <c r="AQ251" t="s">
        <v>495</v>
      </c>
      <c r="AR251">
        <f>0</f>
        <v>0</v>
      </c>
      <c r="AT251">
        <f>0</f>
        <v>0</v>
      </c>
      <c r="AV251" t="s">
        <v>495</v>
      </c>
      <c r="AW251" s="56">
        <f>L250</f>
        <v>1906.84</v>
      </c>
      <c r="AZ251">
        <f>Source!X186</f>
        <v>0</v>
      </c>
      <c r="BA251">
        <f>Source!Y186</f>
        <v>0</v>
      </c>
      <c r="CD251">
        <v>1</v>
      </c>
    </row>
    <row r="252" spans="1:82" ht="71.25">
      <c r="A252" s="65" t="s">
        <v>155</v>
      </c>
      <c r="B252" s="50" t="str">
        <f>Source!F187</f>
        <v>цена поставщика</v>
      </c>
      <c r="C252" s="50" t="str">
        <f>Source!G187</f>
        <v>Лента крепления шириной 20 мм, толщиной 0,7 мм, длиной 50 м из нержавеющей стали (в пластмасовой коробке с кабельной бухтой) F207 (СИП)</v>
      </c>
      <c r="D252" s="51" t="str">
        <f>Source!H187</f>
        <v>ШТ</v>
      </c>
      <c r="E252" s="52">
        <f>Source!K187</f>
        <v>0.52</v>
      </c>
      <c r="F252" s="53"/>
      <c r="G252" s="52">
        <f>Source!I187</f>
        <v>0.52</v>
      </c>
      <c r="H252" s="54">
        <f>Source!AL187</f>
        <v>2416.67</v>
      </c>
      <c r="I252" s="55"/>
      <c r="J252" s="54"/>
      <c r="K252" s="50"/>
      <c r="L252" s="54">
        <f>Source!P187</f>
        <v>1256.67</v>
      </c>
    </row>
    <row r="253" spans="1:82" ht="15">
      <c r="C253" s="111" t="s">
        <v>494</v>
      </c>
      <c r="D253" s="111"/>
      <c r="E253" s="111"/>
      <c r="F253" s="111"/>
      <c r="G253" s="111"/>
      <c r="H253" s="111"/>
      <c r="I253" s="112">
        <f>K253/E252</f>
        <v>2416.6730769230771</v>
      </c>
      <c r="J253" s="112"/>
      <c r="K253" s="112">
        <f>L252</f>
        <v>1256.67</v>
      </c>
      <c r="L253" s="112"/>
      <c r="AD253">
        <f>ROUND((Source!AT187/100)*((ROUND(ROUND(Source!AO187,2)*Source!I187, 2)+ROUND(ROUND(Source!AN187,2)*Source!I187, 2))), 2)</f>
        <v>0</v>
      </c>
      <c r="AE253">
        <f>ROUND((Source!AU187/100)*((ROUND(ROUND(Source!AO187,2)*Source!I187, 2)+ROUND(ROUND(Source!AN187,2)*Source!I187, 2))), 2)</f>
        <v>0</v>
      </c>
      <c r="AN253" s="56">
        <f>L252</f>
        <v>1256.67</v>
      </c>
      <c r="AO253">
        <f>0</f>
        <v>0</v>
      </c>
      <c r="AQ253" t="s">
        <v>495</v>
      </c>
      <c r="AR253">
        <f>0</f>
        <v>0</v>
      </c>
      <c r="AT253">
        <f>0</f>
        <v>0</v>
      </c>
      <c r="AV253" t="s">
        <v>495</v>
      </c>
      <c r="AW253" s="56">
        <f>L252</f>
        <v>1256.67</v>
      </c>
      <c r="AZ253">
        <f>Source!X187</f>
        <v>0</v>
      </c>
      <c r="BA253">
        <f>Source!Y187</f>
        <v>0</v>
      </c>
      <c r="CD253">
        <v>1</v>
      </c>
    </row>
    <row r="254" spans="1:82" ht="14.25">
      <c r="A254" s="65" t="s">
        <v>156</v>
      </c>
      <c r="B254" s="50" t="str">
        <f>Source!F188</f>
        <v>цена поставщика</v>
      </c>
      <c r="C254" s="50" t="str">
        <f>Source!G188</f>
        <v>Скрепа размером 20 мм NC20 (СИП)</v>
      </c>
      <c r="D254" s="51" t="str">
        <f>Source!H188</f>
        <v>ШТ</v>
      </c>
      <c r="E254" s="52">
        <f>Source!K188</f>
        <v>26</v>
      </c>
      <c r="F254" s="53"/>
      <c r="G254" s="52">
        <f>Source!I188</f>
        <v>26</v>
      </c>
      <c r="H254" s="54">
        <f>Source!AL188</f>
        <v>10.83</v>
      </c>
      <c r="I254" s="55"/>
      <c r="J254" s="54"/>
      <c r="K254" s="50"/>
      <c r="L254" s="54">
        <f>Source!P188</f>
        <v>281.58</v>
      </c>
    </row>
    <row r="255" spans="1:82" ht="15">
      <c r="C255" s="111" t="s">
        <v>494</v>
      </c>
      <c r="D255" s="111"/>
      <c r="E255" s="111"/>
      <c r="F255" s="111"/>
      <c r="G255" s="111"/>
      <c r="H255" s="111"/>
      <c r="I255" s="112">
        <f>K255/E254</f>
        <v>10.83</v>
      </c>
      <c r="J255" s="112"/>
      <c r="K255" s="112">
        <f>L254</f>
        <v>281.58</v>
      </c>
      <c r="L255" s="112"/>
      <c r="AD255">
        <f>ROUND((Source!AT188/100)*((ROUND(ROUND(Source!AO188,2)*Source!I188, 2)+ROUND(ROUND(Source!AN188,2)*Source!I188, 2))), 2)</f>
        <v>0</v>
      </c>
      <c r="AE255">
        <f>ROUND((Source!AU188/100)*((ROUND(ROUND(Source!AO188,2)*Source!I188, 2)+ROUND(ROUND(Source!AN188,2)*Source!I188, 2))), 2)</f>
        <v>0</v>
      </c>
      <c r="AN255" s="56">
        <f>L254</f>
        <v>281.58</v>
      </c>
      <c r="AO255">
        <f>0</f>
        <v>0</v>
      </c>
      <c r="AQ255" t="s">
        <v>495</v>
      </c>
      <c r="AR255">
        <f>0</f>
        <v>0</v>
      </c>
      <c r="AT255">
        <f>0</f>
        <v>0</v>
      </c>
      <c r="AV255" t="s">
        <v>495</v>
      </c>
      <c r="AW255" s="56">
        <f>L254</f>
        <v>281.58</v>
      </c>
      <c r="AZ255">
        <f>Source!X188</f>
        <v>0</v>
      </c>
      <c r="BA255">
        <f>Source!Y188</f>
        <v>0</v>
      </c>
      <c r="CD255">
        <v>1</v>
      </c>
    </row>
    <row r="256" spans="1:82" ht="28.5">
      <c r="A256" s="65" t="s">
        <v>157</v>
      </c>
      <c r="B256" s="50" t="str">
        <f>Source!F189</f>
        <v>цена поставщика</v>
      </c>
      <c r="C256" s="50" t="str">
        <f>Source!G189</f>
        <v>Зажим ответвительный с прокалыванием изоляции (СИП):P 645</v>
      </c>
      <c r="D256" s="51" t="str">
        <f>Source!H189</f>
        <v>ШТ</v>
      </c>
      <c r="E256" s="52">
        <f>Source!K189</f>
        <v>104</v>
      </c>
      <c r="F256" s="53"/>
      <c r="G256" s="52">
        <f>Source!I189</f>
        <v>104</v>
      </c>
      <c r="H256" s="54">
        <f>Source!AL189</f>
        <v>151.66999999999999</v>
      </c>
      <c r="I256" s="55"/>
      <c r="J256" s="54"/>
      <c r="K256" s="50"/>
      <c r="L256" s="54">
        <f>Source!P189</f>
        <v>15773.68</v>
      </c>
    </row>
    <row r="257" spans="1:82" ht="15">
      <c r="C257" s="111" t="s">
        <v>494</v>
      </c>
      <c r="D257" s="111"/>
      <c r="E257" s="111"/>
      <c r="F257" s="111"/>
      <c r="G257" s="111"/>
      <c r="H257" s="111"/>
      <c r="I257" s="112">
        <f>K257/E256</f>
        <v>151.67000000000002</v>
      </c>
      <c r="J257" s="112"/>
      <c r="K257" s="112">
        <f>L256</f>
        <v>15773.68</v>
      </c>
      <c r="L257" s="112"/>
      <c r="AD257">
        <f>ROUND((Source!AT189/100)*((ROUND(ROUND(Source!AO189,2)*Source!I189, 2)+ROUND(ROUND(Source!AN189,2)*Source!I189, 2))), 2)</f>
        <v>0</v>
      </c>
      <c r="AE257">
        <f>ROUND((Source!AU189/100)*((ROUND(ROUND(Source!AO189,2)*Source!I189, 2)+ROUND(ROUND(Source!AN189,2)*Source!I189, 2))), 2)</f>
        <v>0</v>
      </c>
      <c r="AN257" s="56">
        <f>L256</f>
        <v>15773.68</v>
      </c>
      <c r="AO257">
        <f>0</f>
        <v>0</v>
      </c>
      <c r="AQ257" t="s">
        <v>495</v>
      </c>
      <c r="AR257">
        <f>0</f>
        <v>0</v>
      </c>
      <c r="AT257">
        <f>0</f>
        <v>0</v>
      </c>
      <c r="AV257" t="s">
        <v>495</v>
      </c>
      <c r="AW257" s="56">
        <f>L256</f>
        <v>15773.68</v>
      </c>
      <c r="AZ257">
        <f>Source!X189</f>
        <v>0</v>
      </c>
      <c r="BA257">
        <f>Source!Y189</f>
        <v>0</v>
      </c>
      <c r="CD257">
        <v>1</v>
      </c>
    </row>
    <row r="259" spans="1:82" ht="15">
      <c r="A259" s="62"/>
      <c r="B259" s="63"/>
      <c r="C259" s="129" t="s">
        <v>501</v>
      </c>
      <c r="D259" s="129"/>
      <c r="E259" s="129"/>
      <c r="F259" s="129"/>
      <c r="G259" s="129"/>
      <c r="H259" s="129"/>
      <c r="I259" s="49"/>
      <c r="J259" s="62"/>
      <c r="K259" s="64"/>
      <c r="L259" s="49">
        <f>L261+L262+L268+L272</f>
        <v>322118.77</v>
      </c>
    </row>
    <row r="260" spans="1:82" ht="14.25">
      <c r="A260" s="59"/>
      <c r="B260" s="61"/>
      <c r="C260" s="128" t="s">
        <v>502</v>
      </c>
      <c r="D260" s="127"/>
      <c r="E260" s="127"/>
      <c r="F260" s="127"/>
      <c r="G260" s="127"/>
      <c r="H260" s="127"/>
      <c r="I260" s="48"/>
      <c r="J260" s="59"/>
      <c r="K260" s="45"/>
      <c r="L260" s="48"/>
    </row>
    <row r="261" spans="1:82" ht="14.25" hidden="1">
      <c r="A261" s="59"/>
      <c r="B261" s="61"/>
      <c r="C261" s="127" t="s">
        <v>503</v>
      </c>
      <c r="D261" s="127"/>
      <c r="E261" s="127"/>
      <c r="F261" s="127"/>
      <c r="G261" s="127"/>
      <c r="H261" s="127"/>
      <c r="I261" s="48"/>
      <c r="J261" s="59"/>
      <c r="K261" s="45"/>
      <c r="L261" s="48">
        <f>SUM(AR247:AR257)</f>
        <v>0</v>
      </c>
    </row>
    <row r="262" spans="1:82" ht="14.25" hidden="1">
      <c r="A262" s="59"/>
      <c r="B262" s="61"/>
      <c r="C262" s="127" t="s">
        <v>504</v>
      </c>
      <c r="D262" s="127"/>
      <c r="E262" s="127"/>
      <c r="F262" s="127"/>
      <c r="G262" s="127"/>
      <c r="H262" s="127"/>
      <c r="I262" s="48"/>
      <c r="J262" s="59"/>
      <c r="K262" s="45"/>
      <c r="L262" s="48">
        <f>L264+L267+L266</f>
        <v>0</v>
      </c>
    </row>
    <row r="263" spans="1:82" ht="14.25" hidden="1">
      <c r="A263" s="59"/>
      <c r="B263" s="61"/>
      <c r="C263" s="128" t="s">
        <v>505</v>
      </c>
      <c r="D263" s="127"/>
      <c r="E263" s="127"/>
      <c r="F263" s="127"/>
      <c r="G263" s="127"/>
      <c r="H263" s="127"/>
      <c r="I263" s="48"/>
      <c r="J263" s="59"/>
      <c r="K263" s="45"/>
      <c r="L263" s="48"/>
    </row>
    <row r="264" spans="1:82" ht="14.25" hidden="1">
      <c r="A264" s="59"/>
      <c r="B264" s="61"/>
      <c r="C264" s="127" t="s">
        <v>504</v>
      </c>
      <c r="D264" s="127"/>
      <c r="E264" s="127"/>
      <c r="F264" s="127"/>
      <c r="G264" s="127"/>
      <c r="H264" s="127"/>
      <c r="I264" s="48"/>
      <c r="J264" s="59"/>
      <c r="K264" s="45"/>
      <c r="L264" s="48">
        <f>SUM(AO247:AO257)</f>
        <v>0</v>
      </c>
    </row>
    <row r="265" spans="1:82" ht="14.25" hidden="1">
      <c r="A265" s="59"/>
      <c r="B265" s="61"/>
      <c r="C265" s="128" t="s">
        <v>506</v>
      </c>
      <c r="D265" s="127"/>
      <c r="E265" s="127"/>
      <c r="F265" s="127"/>
      <c r="G265" s="127"/>
      <c r="H265" s="127"/>
      <c r="I265" s="48"/>
      <c r="J265" s="59"/>
      <c r="K265" s="45"/>
      <c r="L265" s="48"/>
    </row>
    <row r="266" spans="1:82" ht="14.25" hidden="1">
      <c r="A266" s="59"/>
      <c r="B266" s="61"/>
      <c r="C266" s="127" t="s">
        <v>526</v>
      </c>
      <c r="D266" s="127"/>
      <c r="E266" s="127"/>
      <c r="F266" s="127"/>
      <c r="G266" s="127"/>
      <c r="H266" s="127"/>
      <c r="I266" s="48"/>
      <c r="J266" s="59"/>
      <c r="K266" s="45"/>
      <c r="L266" s="48">
        <f>SUM(AT247:AT257)</f>
        <v>0</v>
      </c>
    </row>
    <row r="267" spans="1:82" ht="14.25" hidden="1">
      <c r="A267" s="59"/>
      <c r="B267" s="61"/>
      <c r="C267" s="127" t="s">
        <v>507</v>
      </c>
      <c r="D267" s="127"/>
      <c r="E267" s="127"/>
      <c r="F267" s="127"/>
      <c r="G267" s="127"/>
      <c r="H267" s="127"/>
      <c r="I267" s="48"/>
      <c r="J267" s="59"/>
      <c r="K267" s="45"/>
      <c r="L267" s="48">
        <f>SUM(AV247:AV257)</f>
        <v>0</v>
      </c>
    </row>
    <row r="268" spans="1:82" ht="14.25">
      <c r="A268" s="59"/>
      <c r="B268" s="61"/>
      <c r="C268" s="127" t="s">
        <v>508</v>
      </c>
      <c r="D268" s="127"/>
      <c r="E268" s="127"/>
      <c r="F268" s="127"/>
      <c r="G268" s="127"/>
      <c r="H268" s="127"/>
      <c r="I268" s="48"/>
      <c r="J268" s="59"/>
      <c r="K268" s="45"/>
      <c r="L268" s="48">
        <f>L270+L271</f>
        <v>322118.77</v>
      </c>
    </row>
    <row r="269" spans="1:82" ht="14.25">
      <c r="A269" s="59"/>
      <c r="B269" s="61"/>
      <c r="C269" s="128" t="s">
        <v>505</v>
      </c>
      <c r="D269" s="127"/>
      <c r="E269" s="127"/>
      <c r="F269" s="127"/>
      <c r="G269" s="127"/>
      <c r="H269" s="127"/>
      <c r="I269" s="48"/>
      <c r="J269" s="59"/>
      <c r="K269" s="45"/>
      <c r="L269" s="48"/>
    </row>
    <row r="270" spans="1:82" ht="14.25">
      <c r="A270" s="59"/>
      <c r="B270" s="61"/>
      <c r="C270" s="127" t="s">
        <v>509</v>
      </c>
      <c r="D270" s="127"/>
      <c r="E270" s="127"/>
      <c r="F270" s="127"/>
      <c r="G270" s="127"/>
      <c r="H270" s="127"/>
      <c r="I270" s="48"/>
      <c r="J270" s="59"/>
      <c r="K270" s="45"/>
      <c r="L270" s="48">
        <f>SUM(AW247:AW257)-SUM(BK247:BK257)</f>
        <v>322118.77</v>
      </c>
    </row>
    <row r="271" spans="1:82" ht="14.25" hidden="1">
      <c r="A271" s="59"/>
      <c r="B271" s="61"/>
      <c r="C271" s="127" t="s">
        <v>510</v>
      </c>
      <c r="D271" s="127"/>
      <c r="E271" s="127"/>
      <c r="F271" s="127"/>
      <c r="G271" s="127"/>
      <c r="H271" s="127"/>
      <c r="I271" s="48"/>
      <c r="J271" s="59"/>
      <c r="K271" s="45"/>
      <c r="L271" s="48">
        <f>SUM(BC247:BC257)</f>
        <v>0</v>
      </c>
    </row>
    <row r="272" spans="1:82" ht="14.25" hidden="1">
      <c r="A272" s="59"/>
      <c r="B272" s="61"/>
      <c r="C272" s="127" t="s">
        <v>511</v>
      </c>
      <c r="D272" s="127"/>
      <c r="E272" s="127"/>
      <c r="F272" s="127"/>
      <c r="G272" s="127"/>
      <c r="H272" s="127"/>
      <c r="I272" s="48"/>
      <c r="J272" s="59"/>
      <c r="K272" s="45"/>
      <c r="L272" s="48">
        <f>SUM(BB247:BB257)</f>
        <v>0</v>
      </c>
    </row>
    <row r="273" spans="1:12" ht="14.25" hidden="1">
      <c r="A273" s="59"/>
      <c r="B273" s="61"/>
      <c r="C273" s="127" t="s">
        <v>512</v>
      </c>
      <c r="D273" s="127"/>
      <c r="E273" s="127"/>
      <c r="F273" s="127"/>
      <c r="G273" s="127"/>
      <c r="H273" s="127"/>
      <c r="I273" s="48"/>
      <c r="J273" s="59"/>
      <c r="K273" s="45"/>
      <c r="L273" s="48">
        <f>SUM(AR247:AR257)+SUM(AT247:AT257)+SUM(AV247:AV257)</f>
        <v>0</v>
      </c>
    </row>
    <row r="274" spans="1:12" ht="14.25" hidden="1">
      <c r="A274" s="59"/>
      <c r="B274" s="61"/>
      <c r="C274" s="127" t="s">
        <v>513</v>
      </c>
      <c r="D274" s="127"/>
      <c r="E274" s="127"/>
      <c r="F274" s="127"/>
      <c r="G274" s="127"/>
      <c r="H274" s="127"/>
      <c r="I274" s="48"/>
      <c r="J274" s="59"/>
      <c r="K274" s="45"/>
      <c r="L274" s="48">
        <f>SUM(AZ247:AZ257)</f>
        <v>0</v>
      </c>
    </row>
    <row r="275" spans="1:12" ht="14.25" hidden="1">
      <c r="A275" s="59"/>
      <c r="B275" s="61"/>
      <c r="C275" s="127" t="s">
        <v>514</v>
      </c>
      <c r="D275" s="127"/>
      <c r="E275" s="127"/>
      <c r="F275" s="127"/>
      <c r="G275" s="127"/>
      <c r="H275" s="127"/>
      <c r="I275" s="48"/>
      <c r="J275" s="59"/>
      <c r="K275" s="45"/>
      <c r="L275" s="48">
        <f>SUM(BA247:BA257)</f>
        <v>0</v>
      </c>
    </row>
    <row r="276" spans="1:12" ht="14.25" hidden="1">
      <c r="A276" s="59"/>
      <c r="B276" s="61"/>
      <c r="C276" s="127" t="s">
        <v>515</v>
      </c>
      <c r="D276" s="127"/>
      <c r="E276" s="127"/>
      <c r="F276" s="127"/>
      <c r="G276" s="127"/>
      <c r="H276" s="127"/>
      <c r="I276" s="48"/>
      <c r="J276" s="59"/>
      <c r="K276" s="45"/>
      <c r="L276" s="48">
        <f>L278+L279</f>
        <v>0</v>
      </c>
    </row>
    <row r="277" spans="1:12" ht="14.25" hidden="1">
      <c r="A277" s="59"/>
      <c r="B277" s="61"/>
      <c r="C277" s="128" t="s">
        <v>502</v>
      </c>
      <c r="D277" s="127"/>
      <c r="E277" s="127"/>
      <c r="F277" s="127"/>
      <c r="G277" s="127"/>
      <c r="H277" s="127"/>
      <c r="I277" s="48"/>
      <c r="J277" s="59"/>
      <c r="K277" s="45"/>
      <c r="L277" s="48"/>
    </row>
    <row r="278" spans="1:12" ht="14.25" hidden="1">
      <c r="A278" s="59"/>
      <c r="B278" s="61"/>
      <c r="C278" s="127" t="s">
        <v>516</v>
      </c>
      <c r="D278" s="127"/>
      <c r="E278" s="127"/>
      <c r="F278" s="127"/>
      <c r="G278" s="127"/>
      <c r="H278" s="127"/>
      <c r="I278" s="48"/>
      <c r="J278" s="59"/>
      <c r="K278" s="45"/>
      <c r="L278" s="48">
        <f>SUM(BK247:BK257)</f>
        <v>0</v>
      </c>
    </row>
    <row r="279" spans="1:12" ht="14.25" hidden="1">
      <c r="A279" s="59"/>
      <c r="B279" s="61"/>
      <c r="C279" s="127" t="s">
        <v>517</v>
      </c>
      <c r="D279" s="127"/>
      <c r="E279" s="127"/>
      <c r="F279" s="127"/>
      <c r="G279" s="127"/>
      <c r="H279" s="127"/>
      <c r="I279" s="48"/>
      <c r="J279" s="59"/>
      <c r="K279" s="45"/>
      <c r="L279" s="48">
        <f>SUM(BD247:BD257)</f>
        <v>0</v>
      </c>
    </row>
    <row r="280" spans="1:12" ht="14.25" hidden="1">
      <c r="A280" s="59"/>
      <c r="B280" s="61"/>
      <c r="C280" s="127" t="s">
        <v>518</v>
      </c>
      <c r="D280" s="127"/>
      <c r="E280" s="127"/>
      <c r="F280" s="127"/>
      <c r="G280" s="127"/>
      <c r="H280" s="127"/>
      <c r="I280" s="48"/>
      <c r="J280" s="59"/>
      <c r="K280" s="45"/>
      <c r="L280" s="48"/>
    </row>
    <row r="281" spans="1:12" ht="14.25" hidden="1">
      <c r="A281" s="59"/>
      <c r="B281" s="61"/>
      <c r="C281" s="127" t="s">
        <v>519</v>
      </c>
      <c r="D281" s="127"/>
      <c r="E281" s="127"/>
      <c r="F281" s="127"/>
      <c r="G281" s="127"/>
      <c r="H281" s="127"/>
      <c r="I281" s="48"/>
      <c r="J281" s="59"/>
      <c r="K281" s="45"/>
      <c r="L281" s="48">
        <f>SUM(BO247:BO257)</f>
        <v>0</v>
      </c>
    </row>
    <row r="282" spans="1:12" ht="15">
      <c r="A282" s="62"/>
      <c r="B282" s="63"/>
      <c r="C282" s="129" t="s">
        <v>520</v>
      </c>
      <c r="D282" s="129"/>
      <c r="E282" s="129"/>
      <c r="F282" s="129"/>
      <c r="G282" s="129"/>
      <c r="H282" s="129"/>
      <c r="I282" s="49"/>
      <c r="J282" s="62"/>
      <c r="K282" s="64"/>
      <c r="L282" s="49">
        <f>L259+L274+L275+L276+L280+L281</f>
        <v>322118.77</v>
      </c>
    </row>
    <row r="283" spans="1:12" ht="14.25" hidden="1">
      <c r="A283" s="59"/>
      <c r="B283" s="61"/>
      <c r="C283" s="128" t="s">
        <v>521</v>
      </c>
      <c r="D283" s="127"/>
      <c r="E283" s="127"/>
      <c r="F283" s="127"/>
      <c r="G283" s="127"/>
      <c r="H283" s="127"/>
      <c r="I283" s="48"/>
      <c r="J283" s="59"/>
      <c r="K283" s="45"/>
      <c r="L283" s="48"/>
    </row>
    <row r="284" spans="1:12" ht="14.25" hidden="1">
      <c r="A284" s="59"/>
      <c r="B284" s="61"/>
      <c r="C284" s="127" t="s">
        <v>522</v>
      </c>
      <c r="D284" s="127"/>
      <c r="E284" s="127"/>
      <c r="F284" s="127"/>
      <c r="G284" s="127"/>
      <c r="H284" s="127"/>
      <c r="I284" s="48"/>
      <c r="J284" s="59"/>
      <c r="K284" s="45"/>
      <c r="L284" s="48">
        <f>SUM(AX247:AX257)</f>
        <v>0</v>
      </c>
    </row>
    <row r="285" spans="1:12" ht="14.25" hidden="1">
      <c r="A285" s="59"/>
      <c r="B285" s="61"/>
      <c r="C285" s="127" t="s">
        <v>523</v>
      </c>
      <c r="D285" s="127"/>
      <c r="E285" s="127"/>
      <c r="F285" s="127"/>
      <c r="G285" s="127"/>
      <c r="H285" s="127"/>
      <c r="I285" s="48"/>
      <c r="J285" s="59"/>
      <c r="K285" s="45"/>
      <c r="L285" s="48">
        <f>SUM(AY247:AY257)</f>
        <v>0</v>
      </c>
    </row>
    <row r="286" spans="1:12" ht="14.25" hidden="1" customHeight="1">
      <c r="A286" s="59"/>
      <c r="B286" s="61"/>
      <c r="C286" s="127" t="s">
        <v>524</v>
      </c>
      <c r="D286" s="127"/>
      <c r="E286" s="127"/>
      <c r="F286" s="130"/>
      <c r="G286" s="47">
        <f>Source!F213</f>
        <v>0</v>
      </c>
      <c r="H286" s="59"/>
      <c r="I286" s="59"/>
      <c r="J286" s="59"/>
      <c r="K286" s="59"/>
      <c r="L286" s="59"/>
    </row>
    <row r="287" spans="1:12" ht="14.25" hidden="1" customHeight="1">
      <c r="A287" s="59"/>
      <c r="B287" s="61"/>
      <c r="C287" s="127" t="s">
        <v>525</v>
      </c>
      <c r="D287" s="127"/>
      <c r="E287" s="127"/>
      <c r="F287" s="130"/>
      <c r="G287" s="47">
        <f>Source!F214</f>
        <v>0</v>
      </c>
      <c r="H287" s="59"/>
      <c r="I287" s="59"/>
      <c r="J287" s="59"/>
      <c r="K287" s="59"/>
      <c r="L287" s="59"/>
    </row>
    <row r="289" spans="1:83" ht="14.25">
      <c r="C289" s="131" t="str">
        <f>Source!H230</f>
        <v>НДС 20%</v>
      </c>
      <c r="D289" s="131"/>
      <c r="E289" s="131"/>
      <c r="F289" s="131"/>
      <c r="G289" s="131"/>
      <c r="H289" s="131"/>
      <c r="I289" s="131"/>
      <c r="J289" s="131"/>
      <c r="K289" s="131"/>
      <c r="L289" s="57">
        <f>IF(Source!Y230=0, "", Source!Y230)</f>
        <v>64423.75</v>
      </c>
    </row>
    <row r="290" spans="1:83" ht="14.25">
      <c r="C290" s="131" t="str">
        <f>Source!H231</f>
        <v>ИТОГО с НДС</v>
      </c>
      <c r="D290" s="131"/>
      <c r="E290" s="131"/>
      <c r="F290" s="131"/>
      <c r="G290" s="131"/>
      <c r="H290" s="131"/>
      <c r="I290" s="131"/>
      <c r="J290" s="131"/>
      <c r="K290" s="131"/>
      <c r="L290" s="57">
        <f>IF(Source!Y231=0, "", Source!Y231)</f>
        <v>386542.52</v>
      </c>
    </row>
    <row r="292" spans="1:83" ht="16.5">
      <c r="A292" s="110" t="s">
        <v>532</v>
      </c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</row>
    <row r="293" spans="1:83" ht="57">
      <c r="A293" s="40" t="s">
        <v>159</v>
      </c>
      <c r="B293" s="42" t="s">
        <v>533</v>
      </c>
      <c r="C293" s="42" t="str">
        <f>Source!G237</f>
        <v>Блок управления шкафного исполнения или распределительный пункт (шкаф), устанавливаемый: на стене, высота и ширина до 1200х1000 мм</v>
      </c>
      <c r="D293" s="43" t="str">
        <f>Source!H237</f>
        <v>ШТ</v>
      </c>
      <c r="E293" s="47">
        <f>Source!K237</f>
        <v>1</v>
      </c>
      <c r="F293" s="41"/>
      <c r="G293" s="47">
        <f>Source!I237</f>
        <v>1</v>
      </c>
      <c r="H293" s="48"/>
      <c r="I293" s="46"/>
      <c r="J293" s="48"/>
      <c r="K293" s="42"/>
      <c r="L293" s="48"/>
    </row>
    <row r="294" spans="1:83" ht="15">
      <c r="A294" s="41"/>
      <c r="B294" s="45">
        <v>1</v>
      </c>
      <c r="C294" s="41" t="s">
        <v>483</v>
      </c>
      <c r="D294" s="43" t="s">
        <v>321</v>
      </c>
      <c r="E294" s="47"/>
      <c r="F294" s="45"/>
      <c r="G294" s="47">
        <f>Source!U237</f>
        <v>3.09</v>
      </c>
      <c r="H294" s="45"/>
      <c r="I294" s="45"/>
      <c r="J294" s="45"/>
      <c r="K294" s="45"/>
      <c r="L294" s="49">
        <f>SUM(L295:L295)-SUMIF(CE295:CE295, 1, L295:L295)</f>
        <v>964.57</v>
      </c>
    </row>
    <row r="295" spans="1:83" ht="28.5">
      <c r="A295" s="42"/>
      <c r="B295" s="42" t="s">
        <v>319</v>
      </c>
      <c r="C295" s="42" t="s">
        <v>320</v>
      </c>
      <c r="D295" s="43" t="s">
        <v>321</v>
      </c>
      <c r="E295" s="47">
        <v>3.09</v>
      </c>
      <c r="F295" s="41"/>
      <c r="G295" s="47">
        <f>SmtRes!CX29</f>
        <v>3.09</v>
      </c>
      <c r="H295" s="48"/>
      <c r="I295" s="46"/>
      <c r="J295" s="48">
        <f>SmtRes!CZ29</f>
        <v>312.16000000000003</v>
      </c>
      <c r="K295" s="42"/>
      <c r="L295" s="48">
        <f>SmtRes!DI29</f>
        <v>964.57</v>
      </c>
    </row>
    <row r="296" spans="1:83" ht="15">
      <c r="A296" s="41"/>
      <c r="B296" s="45">
        <v>2</v>
      </c>
      <c r="C296" s="41" t="s">
        <v>484</v>
      </c>
      <c r="D296" s="43"/>
      <c r="E296" s="47"/>
      <c r="F296" s="45"/>
      <c r="G296" s="47"/>
      <c r="H296" s="45"/>
      <c r="I296" s="45"/>
      <c r="J296" s="45"/>
      <c r="K296" s="45"/>
      <c r="L296" s="49">
        <f>SUM(L297:L302)-SUMIF(CE297:CE302, 1, L297:L302)</f>
        <v>537.79999999999995</v>
      </c>
    </row>
    <row r="297" spans="1:83" ht="15">
      <c r="A297" s="41"/>
      <c r="B297" s="45"/>
      <c r="C297" s="41" t="s">
        <v>487</v>
      </c>
      <c r="D297" s="43" t="s">
        <v>321</v>
      </c>
      <c r="E297" s="47"/>
      <c r="F297" s="45"/>
      <c r="G297" s="47">
        <f>Source!V237</f>
        <v>1.51</v>
      </c>
      <c r="H297" s="45"/>
      <c r="I297" s="45"/>
      <c r="J297" s="45"/>
      <c r="K297" s="45"/>
      <c r="L297" s="49">
        <f>SUMIF(CE298:CE302, 1, L298:L302)</f>
        <v>184.67000000000002</v>
      </c>
      <c r="CE297">
        <v>1</v>
      </c>
    </row>
    <row r="298" spans="1:83" ht="28.5">
      <c r="A298" s="42"/>
      <c r="B298" s="42" t="s">
        <v>324</v>
      </c>
      <c r="C298" s="42" t="s">
        <v>326</v>
      </c>
      <c r="D298" s="43" t="s">
        <v>327</v>
      </c>
      <c r="E298" s="47">
        <v>0.26</v>
      </c>
      <c r="F298" s="41"/>
      <c r="G298" s="47">
        <f>SmtRes!CX31</f>
        <v>0.26</v>
      </c>
      <c r="H298" s="48"/>
      <c r="I298" s="46"/>
      <c r="J298" s="48">
        <f>SmtRes!CZ31</f>
        <v>1442.85</v>
      </c>
      <c r="K298" s="42"/>
      <c r="L298" s="48">
        <f>SmtRes!DG31</f>
        <v>375.14</v>
      </c>
    </row>
    <row r="299" spans="1:83" ht="28.5">
      <c r="A299" s="42"/>
      <c r="B299" s="42" t="s">
        <v>328</v>
      </c>
      <c r="C299" s="42" t="s">
        <v>485</v>
      </c>
      <c r="D299" s="43" t="s">
        <v>321</v>
      </c>
      <c r="E299" s="47">
        <f>SmtRes!DO31*SmtRes!AT31</f>
        <v>0.26</v>
      </c>
      <c r="F299" s="41"/>
      <c r="G299" s="47">
        <f>SmtRes!DO31*SmtRes!CX31</f>
        <v>0.26</v>
      </c>
      <c r="H299" s="48"/>
      <c r="I299" s="46"/>
      <c r="J299" s="48">
        <f>ROUND(SmtRes!AG31/SmtRes!DO31, 2)</f>
        <v>407.16</v>
      </c>
      <c r="K299" s="42"/>
      <c r="L299" s="48">
        <f>SmtRes!DH31</f>
        <v>105.86</v>
      </c>
      <c r="CE299">
        <v>1</v>
      </c>
    </row>
    <row r="300" spans="1:83" ht="28.5">
      <c r="A300" s="42"/>
      <c r="B300" s="42" t="s">
        <v>329</v>
      </c>
      <c r="C300" s="42" t="s">
        <v>331</v>
      </c>
      <c r="D300" s="43" t="s">
        <v>327</v>
      </c>
      <c r="E300" s="47">
        <v>0.26</v>
      </c>
      <c r="F300" s="41"/>
      <c r="G300" s="47">
        <f>SmtRes!CX32</f>
        <v>0.26</v>
      </c>
      <c r="H300" s="48"/>
      <c r="I300" s="46"/>
      <c r="J300" s="48">
        <f>SmtRes!CZ32</f>
        <v>557.94000000000005</v>
      </c>
      <c r="K300" s="42"/>
      <c r="L300" s="48">
        <f>SmtRes!DG32</f>
        <v>145.06</v>
      </c>
    </row>
    <row r="301" spans="1:83" ht="28.5">
      <c r="A301" s="42"/>
      <c r="B301" s="42" t="s">
        <v>332</v>
      </c>
      <c r="C301" s="42" t="s">
        <v>486</v>
      </c>
      <c r="D301" s="43" t="s">
        <v>321</v>
      </c>
      <c r="E301" s="47">
        <f>SmtRes!DO32*SmtRes!AT32</f>
        <v>0.26</v>
      </c>
      <c r="F301" s="41"/>
      <c r="G301" s="47">
        <f>SmtRes!DO32*SmtRes!CX32</f>
        <v>0.26</v>
      </c>
      <c r="H301" s="48"/>
      <c r="I301" s="46"/>
      <c r="J301" s="48">
        <f>ROUND(SmtRes!AG32/SmtRes!DO32, 2)</f>
        <v>303.11</v>
      </c>
      <c r="K301" s="42"/>
      <c r="L301" s="48">
        <f>SmtRes!DH32</f>
        <v>78.81</v>
      </c>
      <c r="CE301">
        <v>1</v>
      </c>
    </row>
    <row r="302" spans="1:83" ht="42.75">
      <c r="A302" s="42"/>
      <c r="B302" s="42" t="s">
        <v>338</v>
      </c>
      <c r="C302" s="42" t="s">
        <v>340</v>
      </c>
      <c r="D302" s="43" t="s">
        <v>327</v>
      </c>
      <c r="E302" s="47">
        <v>0.99</v>
      </c>
      <c r="F302" s="41"/>
      <c r="G302" s="47">
        <f>SmtRes!CX33</f>
        <v>0.99</v>
      </c>
      <c r="H302" s="48"/>
      <c r="I302" s="46"/>
      <c r="J302" s="48">
        <f>SmtRes!CZ33</f>
        <v>17.78</v>
      </c>
      <c r="K302" s="42"/>
      <c r="L302" s="48">
        <f>SmtRes!DG33</f>
        <v>17.600000000000001</v>
      </c>
    </row>
    <row r="303" spans="1:83" ht="15">
      <c r="A303" s="41"/>
      <c r="B303" s="45">
        <v>4</v>
      </c>
      <c r="C303" s="41" t="s">
        <v>488</v>
      </c>
      <c r="D303" s="43"/>
      <c r="E303" s="47"/>
      <c r="F303" s="45"/>
      <c r="G303" s="47"/>
      <c r="H303" s="45"/>
      <c r="I303" s="45"/>
      <c r="J303" s="45"/>
      <c r="K303" s="45"/>
      <c r="L303" s="49">
        <f>SUM(L304:L307)-SUMIF(CE304:CE307, 1, L304:L307)</f>
        <v>2997.86</v>
      </c>
    </row>
    <row r="304" spans="1:83" ht="57">
      <c r="A304" s="42"/>
      <c r="B304" s="42" t="s">
        <v>341</v>
      </c>
      <c r="C304" s="42" t="s">
        <v>343</v>
      </c>
      <c r="D304" s="43" t="s">
        <v>344</v>
      </c>
      <c r="E304" s="47">
        <v>0.25</v>
      </c>
      <c r="F304" s="41"/>
      <c r="G304" s="47">
        <f>SmtRes!CX34</f>
        <v>0.25</v>
      </c>
      <c r="H304" s="48">
        <f>SmtRes!CZ34</f>
        <v>155.63</v>
      </c>
      <c r="I304" s="46">
        <f>SmtRes!AI34</f>
        <v>1.03</v>
      </c>
      <c r="J304" s="48">
        <f>ROUND(H304*I304, 2)</f>
        <v>160.30000000000001</v>
      </c>
      <c r="K304" s="42"/>
      <c r="L304" s="48">
        <f>SmtRes!DF34</f>
        <v>40.08</v>
      </c>
    </row>
    <row r="305" spans="1:82" ht="28.5">
      <c r="A305" s="42"/>
      <c r="B305" s="42" t="s">
        <v>345</v>
      </c>
      <c r="C305" s="42" t="s">
        <v>347</v>
      </c>
      <c r="D305" s="43" t="s">
        <v>344</v>
      </c>
      <c r="E305" s="47">
        <v>0.17</v>
      </c>
      <c r="F305" s="41"/>
      <c r="G305" s="47">
        <f>SmtRes!CX35</f>
        <v>0.17</v>
      </c>
      <c r="H305" s="48">
        <f>SmtRes!CZ35</f>
        <v>174.93</v>
      </c>
      <c r="I305" s="46">
        <f>SmtRes!AI35</f>
        <v>1.1100000000000001</v>
      </c>
      <c r="J305" s="48">
        <f>ROUND(H305*I305, 2)</f>
        <v>194.17</v>
      </c>
      <c r="K305" s="42"/>
      <c r="L305" s="48">
        <f>SmtRes!DF35</f>
        <v>33.01</v>
      </c>
    </row>
    <row r="306" spans="1:82" ht="42.75">
      <c r="A306" s="42"/>
      <c r="B306" s="42" t="s">
        <v>358</v>
      </c>
      <c r="C306" s="42" t="s">
        <v>360</v>
      </c>
      <c r="D306" s="43" t="s">
        <v>37</v>
      </c>
      <c r="E306" s="47">
        <v>2.5000000000000001E-2</v>
      </c>
      <c r="F306" s="41"/>
      <c r="G306" s="47">
        <f>SmtRes!CX36</f>
        <v>2.5000000000000001E-2</v>
      </c>
      <c r="H306" s="48">
        <f>SmtRes!CZ36</f>
        <v>105278.81</v>
      </c>
      <c r="I306" s="46">
        <f>SmtRes!AI36</f>
        <v>1.1100000000000001</v>
      </c>
      <c r="J306" s="48">
        <f>ROUND(H306*I306, 2)</f>
        <v>116859.48</v>
      </c>
      <c r="K306" s="42"/>
      <c r="L306" s="48">
        <f>SmtRes!DF36</f>
        <v>2921.49</v>
      </c>
    </row>
    <row r="307" spans="1:82" ht="28.5">
      <c r="A307" s="42"/>
      <c r="B307" s="42" t="s">
        <v>363</v>
      </c>
      <c r="C307" s="50" t="s">
        <v>365</v>
      </c>
      <c r="D307" s="51" t="s">
        <v>344</v>
      </c>
      <c r="E307" s="52">
        <v>0.03</v>
      </c>
      <c r="F307" s="53"/>
      <c r="G307" s="52">
        <f>SmtRes!CX37</f>
        <v>0.03</v>
      </c>
      <c r="H307" s="54">
        <f>SmtRes!CZ37</f>
        <v>79.88</v>
      </c>
      <c r="I307" s="55">
        <f>SmtRes!AI37</f>
        <v>1.37</v>
      </c>
      <c r="J307" s="54">
        <f>ROUND(H307*I307, 2)</f>
        <v>109.44</v>
      </c>
      <c r="K307" s="50"/>
      <c r="L307" s="54">
        <f>SmtRes!DF37</f>
        <v>3.28</v>
      </c>
    </row>
    <row r="308" spans="1:82" ht="15">
      <c r="A308" s="42"/>
      <c r="B308" s="42"/>
      <c r="C308" s="58" t="s">
        <v>489</v>
      </c>
      <c r="D308" s="43"/>
      <c r="E308" s="47"/>
      <c r="F308" s="41"/>
      <c r="G308" s="47"/>
      <c r="H308" s="48"/>
      <c r="I308" s="46"/>
      <c r="J308" s="48"/>
      <c r="K308" s="42"/>
      <c r="L308" s="48">
        <f>L294+L296+L297+L303</f>
        <v>4684.8999999999996</v>
      </c>
    </row>
    <row r="309" spans="1:82" ht="57">
      <c r="A309" s="40" t="s">
        <v>534</v>
      </c>
      <c r="B309" s="42" t="str">
        <f>Source!F238</f>
        <v>421/пр_2020_п.75_пп.а</v>
      </c>
      <c r="C309" s="42" t="str">
        <f>Source!G238</f>
        <v>Сметная стоимость вспомогательных ненормируемых материальных ресурсов, не учтенная в сметной норме, 2%</v>
      </c>
      <c r="D309" s="43" t="str">
        <f>Source!H238</f>
        <v>%</v>
      </c>
      <c r="E309" s="47">
        <f>SmtRes!AT38</f>
        <v>2</v>
      </c>
      <c r="F309" s="41"/>
      <c r="G309" s="47">
        <f>Source!I238</f>
        <v>2</v>
      </c>
      <c r="H309" s="48"/>
      <c r="I309" s="46"/>
      <c r="J309" s="48"/>
      <c r="K309" s="42"/>
      <c r="L309" s="48">
        <f>Source!P238</f>
        <v>19.29</v>
      </c>
      <c r="AD309">
        <f>ROUND((Source!AT238/100)*((ROUND(0*Source!I238, 2)+ROUND(0*Source!I238, 2))), 2)</f>
        <v>0</v>
      </c>
      <c r="AE309">
        <f>ROUND((Source!AU238/100)*((ROUND(0*Source!I238, 2)+ROUND(0*Source!I238, 2))), 2)</f>
        <v>0</v>
      </c>
      <c r="AN309">
        <f>L309</f>
        <v>19.29</v>
      </c>
      <c r="AW309">
        <f>L309</f>
        <v>19.29</v>
      </c>
      <c r="AZ309">
        <f>Source!X238</f>
        <v>0</v>
      </c>
      <c r="BA309">
        <f>Source!Y238</f>
        <v>0</v>
      </c>
      <c r="CD309">
        <v>4</v>
      </c>
    </row>
    <row r="310" spans="1:82" ht="14.25">
      <c r="A310" s="42"/>
      <c r="B310" s="42"/>
      <c r="C310" s="42" t="s">
        <v>491</v>
      </c>
      <c r="D310" s="43"/>
      <c r="E310" s="47"/>
      <c r="F310" s="41"/>
      <c r="G310" s="47"/>
      <c r="H310" s="48"/>
      <c r="I310" s="46"/>
      <c r="J310" s="48"/>
      <c r="K310" s="42"/>
      <c r="L310" s="48">
        <f>SUM(AR293:AR313)+SUM(AS293:AS313)+SUM(AT293:AT313)+SUM(AU293:AU313)+SUM(AV293:AV313)</f>
        <v>1149.24</v>
      </c>
    </row>
    <row r="311" spans="1:82" ht="28.5">
      <c r="A311" s="42"/>
      <c r="B311" s="42" t="s">
        <v>25</v>
      </c>
      <c r="C311" s="42" t="s">
        <v>492</v>
      </c>
      <c r="D311" s="43" t="s">
        <v>30</v>
      </c>
      <c r="E311" s="47">
        <f>Source!BZ237</f>
        <v>97</v>
      </c>
      <c r="F311" s="41"/>
      <c r="G311" s="47">
        <f>Source!AT237</f>
        <v>97</v>
      </c>
      <c r="H311" s="48"/>
      <c r="I311" s="46"/>
      <c r="J311" s="48"/>
      <c r="K311" s="42"/>
      <c r="L311" s="48">
        <f>SUM(AZ293:AZ313)</f>
        <v>1114.76</v>
      </c>
    </row>
    <row r="312" spans="1:82" ht="28.5">
      <c r="A312" s="50"/>
      <c r="B312" s="50" t="s">
        <v>26</v>
      </c>
      <c r="C312" s="50" t="s">
        <v>493</v>
      </c>
      <c r="D312" s="51" t="s">
        <v>30</v>
      </c>
      <c r="E312" s="52">
        <f>Source!CA237</f>
        <v>51</v>
      </c>
      <c r="F312" s="53"/>
      <c r="G312" s="52">
        <f>Source!AU237</f>
        <v>51</v>
      </c>
      <c r="H312" s="54"/>
      <c r="I312" s="55"/>
      <c r="J312" s="54"/>
      <c r="K312" s="50"/>
      <c r="L312" s="54">
        <f>SUM(BA293:BA313)</f>
        <v>586.11</v>
      </c>
    </row>
    <row r="313" spans="1:82" ht="15">
      <c r="C313" s="111" t="s">
        <v>494</v>
      </c>
      <c r="D313" s="111"/>
      <c r="E313" s="111"/>
      <c r="F313" s="111"/>
      <c r="G313" s="111"/>
      <c r="H313" s="111"/>
      <c r="I313" s="112">
        <f>K313/E293</f>
        <v>6405.0599999999995</v>
      </c>
      <c r="J313" s="112"/>
      <c r="K313" s="112">
        <f>L294+L296+L303+L311+L312+L297+SUM(L309:L309)</f>
        <v>6405.0599999999995</v>
      </c>
      <c r="L313" s="112"/>
      <c r="AD313">
        <f>ROUND((Source!AT237/100)*((ROUND(SUMIF(SmtRes!AQ29:'SmtRes'!AQ38,"=1",SmtRes!AD29:'SmtRes'!AD38)*Source!I237, 2)+ROUND(SUMIF(SmtRes!AQ29:'SmtRes'!AQ38,"=1",SmtRes!AC29:'SmtRes'!AC38)*Source!I237, 2))), 2)</f>
        <v>991.76</v>
      </c>
      <c r="AE313">
        <f>ROUND((Source!AU237/100)*((ROUND(SUMIF(SmtRes!AQ29:'SmtRes'!AQ38,"=1",SmtRes!AD29:'SmtRes'!AD38)*Source!I237, 2)+ROUND(SUMIF(SmtRes!AQ29:'SmtRes'!AQ38,"=1",SmtRes!AC29:'SmtRes'!AC38)*Source!I237, 2))), 2)</f>
        <v>521.44000000000005</v>
      </c>
      <c r="AN313" s="56">
        <f>L294+L296+L303+L311+L312+L297</f>
        <v>6385.7699999999995</v>
      </c>
      <c r="AO313" s="56">
        <f>L296</f>
        <v>537.79999999999995</v>
      </c>
      <c r="AQ313" t="s">
        <v>495</v>
      </c>
      <c r="AR313" s="56">
        <f>L294</f>
        <v>964.57</v>
      </c>
      <c r="AT313" s="56">
        <f>L297</f>
        <v>184.67000000000002</v>
      </c>
      <c r="AV313" t="s">
        <v>495</v>
      </c>
      <c r="AW313" s="56">
        <f>L303</f>
        <v>2997.86</v>
      </c>
      <c r="AZ313">
        <f>Source!X237</f>
        <v>1114.76</v>
      </c>
      <c r="BA313">
        <f>Source!Y237</f>
        <v>586.11</v>
      </c>
      <c r="CD313">
        <v>2</v>
      </c>
    </row>
    <row r="314" spans="1:82" ht="57">
      <c r="A314" s="40" t="s">
        <v>164</v>
      </c>
      <c r="B314" s="42" t="s">
        <v>535</v>
      </c>
      <c r="C314" s="42" t="str">
        <f>Source!G239</f>
        <v>Настройка простых сетевых трактов: конфигурация и настройка сетевых компонентов (мост, маршрутизатор, модем и т.п.)</v>
      </c>
      <c r="D314" s="43" t="str">
        <f>Source!H239</f>
        <v>ШТ</v>
      </c>
      <c r="E314" s="47">
        <f>Source!K239</f>
        <v>1</v>
      </c>
      <c r="F314" s="41"/>
      <c r="G314" s="47">
        <f>Source!I239</f>
        <v>1</v>
      </c>
      <c r="H314" s="48"/>
      <c r="I314" s="46"/>
      <c r="J314" s="48"/>
      <c r="K314" s="42"/>
      <c r="L314" s="48"/>
    </row>
    <row r="315" spans="1:82" ht="15">
      <c r="A315" s="41"/>
      <c r="B315" s="45">
        <v>1</v>
      </c>
      <c r="C315" s="41" t="s">
        <v>483</v>
      </c>
      <c r="D315" s="43" t="s">
        <v>321</v>
      </c>
      <c r="E315" s="47"/>
      <c r="F315" s="45"/>
      <c r="G315" s="47">
        <f>Source!U239</f>
        <v>32</v>
      </c>
      <c r="H315" s="45"/>
      <c r="I315" s="45"/>
      <c r="J315" s="45"/>
      <c r="K315" s="45"/>
      <c r="L315" s="49">
        <f>SUM(L316:L317)-SUMIF(CE316:CE317, 1, L316:L317)</f>
        <v>14874.880000000001</v>
      </c>
    </row>
    <row r="316" spans="1:82" ht="14.25">
      <c r="A316" s="42"/>
      <c r="B316" s="42" t="s">
        <v>366</v>
      </c>
      <c r="C316" s="42" t="s">
        <v>367</v>
      </c>
      <c r="D316" s="43" t="s">
        <v>368</v>
      </c>
      <c r="E316" s="47">
        <v>16</v>
      </c>
      <c r="F316" s="41"/>
      <c r="G316" s="47">
        <f>SmtRes!CX39</f>
        <v>16</v>
      </c>
      <c r="H316" s="48"/>
      <c r="I316" s="46"/>
      <c r="J316" s="48">
        <f>SmtRes!CZ39</f>
        <v>486.33</v>
      </c>
      <c r="K316" s="42"/>
      <c r="L316" s="48">
        <f>SmtRes!DI39</f>
        <v>7781.28</v>
      </c>
    </row>
    <row r="317" spans="1:82" ht="14.25">
      <c r="A317" s="42"/>
      <c r="B317" s="42" t="s">
        <v>369</v>
      </c>
      <c r="C317" s="50" t="s">
        <v>370</v>
      </c>
      <c r="D317" s="51" t="s">
        <v>368</v>
      </c>
      <c r="E317" s="52">
        <v>16</v>
      </c>
      <c r="F317" s="53"/>
      <c r="G317" s="52">
        <f>SmtRes!CX40</f>
        <v>16</v>
      </c>
      <c r="H317" s="54"/>
      <c r="I317" s="55"/>
      <c r="J317" s="54">
        <f>SmtRes!CZ40</f>
        <v>443.35</v>
      </c>
      <c r="K317" s="50"/>
      <c r="L317" s="54">
        <f>SmtRes!DI40</f>
        <v>7093.6</v>
      </c>
    </row>
    <row r="318" spans="1:82" ht="15">
      <c r="A318" s="42"/>
      <c r="B318" s="42"/>
      <c r="C318" s="58" t="s">
        <v>489</v>
      </c>
      <c r="D318" s="43"/>
      <c r="E318" s="47"/>
      <c r="F318" s="41"/>
      <c r="G318" s="47"/>
      <c r="H318" s="48"/>
      <c r="I318" s="46"/>
      <c r="J318" s="48"/>
      <c r="K318" s="42"/>
      <c r="L318" s="48">
        <f>L315</f>
        <v>14874.880000000001</v>
      </c>
    </row>
    <row r="319" spans="1:82" ht="57">
      <c r="A319" s="40" t="s">
        <v>536</v>
      </c>
      <c r="B319" s="42" t="str">
        <f>Source!F240</f>
        <v>421/пр_2020_п.75_пп.а</v>
      </c>
      <c r="C319" s="42" t="str">
        <f>Source!G240</f>
        <v>Сметная стоимость вспомогательных ненормируемых материальных ресурсов, не учтенная в сметной норме, 2%</v>
      </c>
      <c r="D319" s="43" t="str">
        <f>Source!H240</f>
        <v>%</v>
      </c>
      <c r="E319" s="47">
        <f>SmtRes!AT41</f>
        <v>2</v>
      </c>
      <c r="F319" s="41"/>
      <c r="G319" s="47">
        <f>Source!I240</f>
        <v>2</v>
      </c>
      <c r="H319" s="48"/>
      <c r="I319" s="46"/>
      <c r="J319" s="48"/>
      <c r="K319" s="42"/>
      <c r="L319" s="48">
        <f>Source!P240</f>
        <v>297.5</v>
      </c>
      <c r="AD319">
        <f>ROUND((Source!AT240/100)*((ROUND(0*Source!I240, 2)+ROUND(0*Source!I240, 2))), 2)</f>
        <v>0</v>
      </c>
      <c r="AE319">
        <f>ROUND((Source!AU240/100)*((ROUND(0*Source!I240, 2)+ROUND(0*Source!I240, 2))), 2)</f>
        <v>0</v>
      </c>
      <c r="AN319">
        <f>L319</f>
        <v>297.5</v>
      </c>
      <c r="AW319">
        <f>L319</f>
        <v>297.5</v>
      </c>
      <c r="AZ319">
        <f>Source!X240</f>
        <v>0</v>
      </c>
      <c r="BA319">
        <f>Source!Y240</f>
        <v>0</v>
      </c>
      <c r="CD319">
        <v>4</v>
      </c>
    </row>
    <row r="320" spans="1:82" ht="14.25">
      <c r="A320" s="42"/>
      <c r="B320" s="42"/>
      <c r="C320" s="42" t="s">
        <v>491</v>
      </c>
      <c r="D320" s="43"/>
      <c r="E320" s="47"/>
      <c r="F320" s="41"/>
      <c r="G320" s="47"/>
      <c r="H320" s="48"/>
      <c r="I320" s="46"/>
      <c r="J320" s="48"/>
      <c r="K320" s="42"/>
      <c r="L320" s="48">
        <f>SUM(AR314:AR323)+SUM(AS314:AS323)+SUM(AT314:AT323)+SUM(AU314:AU323)+SUM(AV314:AV323)</f>
        <v>14874.880000000001</v>
      </c>
    </row>
    <row r="321" spans="1:83" ht="28.5">
      <c r="A321" s="42"/>
      <c r="B321" s="42" t="s">
        <v>170</v>
      </c>
      <c r="C321" s="42" t="s">
        <v>537</v>
      </c>
      <c r="D321" s="43" t="s">
        <v>30</v>
      </c>
      <c r="E321" s="47">
        <f>Source!BZ239</f>
        <v>90</v>
      </c>
      <c r="F321" s="41"/>
      <c r="G321" s="47">
        <f>Source!AT239</f>
        <v>90</v>
      </c>
      <c r="H321" s="48"/>
      <c r="I321" s="46"/>
      <c r="J321" s="48"/>
      <c r="K321" s="42"/>
      <c r="L321" s="48">
        <f>SUM(AZ314:AZ323)</f>
        <v>13387.39</v>
      </c>
    </row>
    <row r="322" spans="1:83" ht="28.5">
      <c r="A322" s="50"/>
      <c r="B322" s="50" t="s">
        <v>171</v>
      </c>
      <c r="C322" s="50" t="s">
        <v>538</v>
      </c>
      <c r="D322" s="51" t="s">
        <v>30</v>
      </c>
      <c r="E322" s="52">
        <f>Source!CA239</f>
        <v>46</v>
      </c>
      <c r="F322" s="53"/>
      <c r="G322" s="52">
        <f>Source!AU239</f>
        <v>46</v>
      </c>
      <c r="H322" s="54"/>
      <c r="I322" s="55"/>
      <c r="J322" s="54"/>
      <c r="K322" s="50"/>
      <c r="L322" s="54">
        <f>SUM(BA314:BA323)</f>
        <v>6842.44</v>
      </c>
    </row>
    <row r="323" spans="1:83" ht="15">
      <c r="C323" s="111" t="s">
        <v>494</v>
      </c>
      <c r="D323" s="111"/>
      <c r="E323" s="111"/>
      <c r="F323" s="111"/>
      <c r="G323" s="111"/>
      <c r="H323" s="111"/>
      <c r="I323" s="112">
        <f>K323/E314</f>
        <v>35402.21</v>
      </c>
      <c r="J323" s="112"/>
      <c r="K323" s="112">
        <f>L315+L321+L322+SUM(L319:L319)</f>
        <v>35402.21</v>
      </c>
      <c r="L323" s="112"/>
      <c r="AD323">
        <f>ROUND((Source!AT239/100)*((ROUND(SUMIF(SmtRes!AQ39:'SmtRes'!AQ41,"=1",SmtRes!AD39:'SmtRes'!AD41)*Source!I239, 2)+ROUND(SUMIF(SmtRes!AQ39:'SmtRes'!AQ41,"=1",SmtRes!AC39:'SmtRes'!AC41)*Source!I239, 2))), 2)</f>
        <v>836.71</v>
      </c>
      <c r="AE323">
        <f>ROUND((Source!AU239/100)*((ROUND(SUMIF(SmtRes!AQ39:'SmtRes'!AQ41,"=1",SmtRes!AD39:'SmtRes'!AD41)*Source!I239, 2)+ROUND(SUMIF(SmtRes!AQ39:'SmtRes'!AQ41,"=1",SmtRes!AC39:'SmtRes'!AC41)*Source!I239, 2))), 2)</f>
        <v>427.65</v>
      </c>
      <c r="AN323" s="56">
        <f>L315+L321+L322</f>
        <v>35104.71</v>
      </c>
      <c r="AO323">
        <f>0</f>
        <v>0</v>
      </c>
      <c r="AQ323" t="s">
        <v>495</v>
      </c>
      <c r="AR323" s="56">
        <f>L315</f>
        <v>14874.880000000001</v>
      </c>
      <c r="AT323">
        <f>0</f>
        <v>0</v>
      </c>
      <c r="AV323" t="s">
        <v>495</v>
      </c>
      <c r="AW323">
        <f>0</f>
        <v>0</v>
      </c>
      <c r="AZ323">
        <f>Source!X239</f>
        <v>13387.39</v>
      </c>
      <c r="BA323">
        <f>Source!Y239</f>
        <v>6842.44</v>
      </c>
      <c r="CD323">
        <v>2</v>
      </c>
    </row>
    <row r="324" spans="1:83" ht="28.5">
      <c r="A324" s="40" t="s">
        <v>174</v>
      </c>
      <c r="B324" s="42" t="s">
        <v>529</v>
      </c>
      <c r="C324" s="42" t="str">
        <f>Source!G241</f>
        <v>Счетчики, устанавливаемые на готовом основании: трехфазные</v>
      </c>
      <c r="D324" s="43" t="str">
        <f>Source!H241</f>
        <v>ШТ</v>
      </c>
      <c r="E324" s="47">
        <f>Source!K241</f>
        <v>4</v>
      </c>
      <c r="F324" s="41"/>
      <c r="G324" s="47">
        <f>Source!I241</f>
        <v>4</v>
      </c>
      <c r="H324" s="48"/>
      <c r="I324" s="46"/>
      <c r="J324" s="48"/>
      <c r="K324" s="42"/>
      <c r="L324" s="48"/>
    </row>
    <row r="325" spans="1:83" ht="15">
      <c r="A325" s="41"/>
      <c r="B325" s="45">
        <v>1</v>
      </c>
      <c r="C325" s="41" t="s">
        <v>483</v>
      </c>
      <c r="D325" s="43" t="s">
        <v>321</v>
      </c>
      <c r="E325" s="47"/>
      <c r="F325" s="45"/>
      <c r="G325" s="47">
        <f>Source!U241</f>
        <v>2.8</v>
      </c>
      <c r="H325" s="45"/>
      <c r="I325" s="45"/>
      <c r="J325" s="45"/>
      <c r="K325" s="45"/>
      <c r="L325" s="49">
        <f>SUM(L326:L326)-SUMIF(CE326:CE326, 1, L326:L326)</f>
        <v>874.05</v>
      </c>
    </row>
    <row r="326" spans="1:83" ht="28.5">
      <c r="A326" s="42"/>
      <c r="B326" s="42" t="s">
        <v>319</v>
      </c>
      <c r="C326" s="42" t="s">
        <v>320</v>
      </c>
      <c r="D326" s="43" t="s">
        <v>321</v>
      </c>
      <c r="E326" s="47">
        <v>0.7</v>
      </c>
      <c r="F326" s="41"/>
      <c r="G326" s="47">
        <f>SmtRes!CX42</f>
        <v>2.8</v>
      </c>
      <c r="H326" s="48"/>
      <c r="I326" s="46"/>
      <c r="J326" s="48">
        <f>SmtRes!CZ42</f>
        <v>312.16000000000003</v>
      </c>
      <c r="K326" s="42"/>
      <c r="L326" s="48">
        <f>SmtRes!DI42</f>
        <v>874.05</v>
      </c>
    </row>
    <row r="327" spans="1:83" ht="15">
      <c r="A327" s="41"/>
      <c r="B327" s="45">
        <v>2</v>
      </c>
      <c r="C327" s="41" t="s">
        <v>484</v>
      </c>
      <c r="D327" s="43"/>
      <c r="E327" s="47"/>
      <c r="F327" s="45"/>
      <c r="G327" s="47"/>
      <c r="H327" s="45"/>
      <c r="I327" s="45"/>
      <c r="J327" s="45"/>
      <c r="K327" s="45"/>
      <c r="L327" s="49">
        <f>SUM(L328:L332)-SUMIF(CE328:CE332, 1, L328:L332)</f>
        <v>80.03</v>
      </c>
    </row>
    <row r="328" spans="1:83" ht="15">
      <c r="A328" s="41"/>
      <c r="B328" s="45"/>
      <c r="C328" s="41" t="s">
        <v>487</v>
      </c>
      <c r="D328" s="43" t="s">
        <v>321</v>
      </c>
      <c r="E328" s="47"/>
      <c r="F328" s="45"/>
      <c r="G328" s="47">
        <f>Source!V241</f>
        <v>0.08</v>
      </c>
      <c r="H328" s="45"/>
      <c r="I328" s="45"/>
      <c r="J328" s="45"/>
      <c r="K328" s="45"/>
      <c r="L328" s="49">
        <f>SUMIF(CE329:CE332, 1, L329:L332)</f>
        <v>28.409999999999997</v>
      </c>
      <c r="CE328">
        <v>1</v>
      </c>
    </row>
    <row r="329" spans="1:83" ht="28.5">
      <c r="A329" s="42"/>
      <c r="B329" s="42" t="s">
        <v>324</v>
      </c>
      <c r="C329" s="42" t="s">
        <v>326</v>
      </c>
      <c r="D329" s="43" t="s">
        <v>327</v>
      </c>
      <c r="E329" s="47">
        <v>0.01</v>
      </c>
      <c r="F329" s="41"/>
      <c r="G329" s="47">
        <f>SmtRes!CX44</f>
        <v>0.04</v>
      </c>
      <c r="H329" s="48"/>
      <c r="I329" s="46"/>
      <c r="J329" s="48">
        <f>SmtRes!CZ44</f>
        <v>1442.85</v>
      </c>
      <c r="K329" s="42"/>
      <c r="L329" s="48">
        <f>SmtRes!DG44</f>
        <v>57.71</v>
      </c>
    </row>
    <row r="330" spans="1:83" ht="28.5">
      <c r="A330" s="42"/>
      <c r="B330" s="42" t="s">
        <v>328</v>
      </c>
      <c r="C330" s="42" t="s">
        <v>485</v>
      </c>
      <c r="D330" s="43" t="s">
        <v>321</v>
      </c>
      <c r="E330" s="47">
        <f>SmtRes!DO44*SmtRes!AT44</f>
        <v>0.01</v>
      </c>
      <c r="F330" s="41"/>
      <c r="G330" s="47">
        <f>SmtRes!DO44*SmtRes!CX44</f>
        <v>0.04</v>
      </c>
      <c r="H330" s="48"/>
      <c r="I330" s="46"/>
      <c r="J330" s="48">
        <f>ROUND(SmtRes!AG44/SmtRes!DO44, 2)</f>
        <v>407.16</v>
      </c>
      <c r="K330" s="42"/>
      <c r="L330" s="48">
        <f>SmtRes!DH44</f>
        <v>16.29</v>
      </c>
      <c r="CE330">
        <v>1</v>
      </c>
    </row>
    <row r="331" spans="1:83" ht="28.5">
      <c r="A331" s="42"/>
      <c r="B331" s="42" t="s">
        <v>329</v>
      </c>
      <c r="C331" s="42" t="s">
        <v>331</v>
      </c>
      <c r="D331" s="43" t="s">
        <v>327</v>
      </c>
      <c r="E331" s="47">
        <v>0.01</v>
      </c>
      <c r="F331" s="41"/>
      <c r="G331" s="47">
        <f>SmtRes!CX45</f>
        <v>0.04</v>
      </c>
      <c r="H331" s="48"/>
      <c r="I331" s="46"/>
      <c r="J331" s="48">
        <f>SmtRes!CZ45</f>
        <v>557.94000000000005</v>
      </c>
      <c r="K331" s="42"/>
      <c r="L331" s="48">
        <f>SmtRes!DG45</f>
        <v>22.32</v>
      </c>
    </row>
    <row r="332" spans="1:83" ht="28.5">
      <c r="A332" s="42"/>
      <c r="B332" s="42" t="s">
        <v>332</v>
      </c>
      <c r="C332" s="42" t="s">
        <v>486</v>
      </c>
      <c r="D332" s="43" t="s">
        <v>321</v>
      </c>
      <c r="E332" s="47">
        <f>SmtRes!DO45*SmtRes!AT45</f>
        <v>0.01</v>
      </c>
      <c r="F332" s="41"/>
      <c r="G332" s="47">
        <f>SmtRes!DO45*SmtRes!CX45</f>
        <v>0.04</v>
      </c>
      <c r="H332" s="48"/>
      <c r="I332" s="46"/>
      <c r="J332" s="48">
        <f>ROUND(SmtRes!AG45/SmtRes!DO45, 2)</f>
        <v>303.11</v>
      </c>
      <c r="K332" s="42"/>
      <c r="L332" s="48">
        <f>SmtRes!DH45</f>
        <v>12.12</v>
      </c>
      <c r="CE332">
        <v>1</v>
      </c>
    </row>
    <row r="333" spans="1:83" ht="15">
      <c r="A333" s="41"/>
      <c r="B333" s="45">
        <v>4</v>
      </c>
      <c r="C333" s="41" t="s">
        <v>488</v>
      </c>
      <c r="D333" s="43"/>
      <c r="E333" s="47"/>
      <c r="F333" s="45"/>
      <c r="G333" s="47"/>
      <c r="H333" s="45"/>
      <c r="I333" s="45"/>
      <c r="J333" s="45"/>
      <c r="K333" s="45"/>
      <c r="L333" s="49">
        <f>SUM(L334:L334)-SUMIF(CE334:CE334, 1, L334:L334)</f>
        <v>17.73</v>
      </c>
    </row>
    <row r="334" spans="1:83" ht="28.5">
      <c r="A334" s="42"/>
      <c r="B334" s="42" t="s">
        <v>333</v>
      </c>
      <c r="C334" s="50" t="s">
        <v>335</v>
      </c>
      <c r="D334" s="51" t="s">
        <v>37</v>
      </c>
      <c r="E334" s="52">
        <v>3.0000000000000001E-5</v>
      </c>
      <c r="F334" s="53"/>
      <c r="G334" s="52">
        <f>SmtRes!CX46</f>
        <v>1.2E-4</v>
      </c>
      <c r="H334" s="54">
        <f>SmtRes!CZ46</f>
        <v>127406</v>
      </c>
      <c r="I334" s="55">
        <f>SmtRes!AI46</f>
        <v>1.1599999999999999</v>
      </c>
      <c r="J334" s="54">
        <f>ROUND(H334*I334, 2)</f>
        <v>147790.96</v>
      </c>
      <c r="K334" s="50"/>
      <c r="L334" s="54">
        <f>SmtRes!DF46</f>
        <v>17.73</v>
      </c>
    </row>
    <row r="335" spans="1:83" ht="15">
      <c r="A335" s="42"/>
      <c r="B335" s="42"/>
      <c r="C335" s="58" t="s">
        <v>489</v>
      </c>
      <c r="D335" s="43"/>
      <c r="E335" s="47"/>
      <c r="F335" s="41"/>
      <c r="G335" s="47"/>
      <c r="H335" s="48"/>
      <c r="I335" s="46"/>
      <c r="J335" s="48"/>
      <c r="K335" s="42"/>
      <c r="L335" s="48">
        <f>L325+L327+L328+L333</f>
        <v>1000.2199999999999</v>
      </c>
    </row>
    <row r="336" spans="1:83" ht="57">
      <c r="A336" s="40" t="s">
        <v>539</v>
      </c>
      <c r="B336" s="42" t="str">
        <f>Source!F242</f>
        <v>421/пр_2020_п.75_пп.а</v>
      </c>
      <c r="C336" s="42" t="str">
        <f>Source!G242</f>
        <v>Сметная стоимость вспомогательных ненормируемых материальных ресурсов, не учтенная в сметной норме, 2%</v>
      </c>
      <c r="D336" s="43" t="str">
        <f>Source!H242</f>
        <v>%</v>
      </c>
      <c r="E336" s="47">
        <f>SmtRes!AT47</f>
        <v>2</v>
      </c>
      <c r="F336" s="41"/>
      <c r="G336" s="47">
        <f>Source!I242</f>
        <v>2</v>
      </c>
      <c r="H336" s="48"/>
      <c r="I336" s="46"/>
      <c r="J336" s="48"/>
      <c r="K336" s="42"/>
      <c r="L336" s="48">
        <f>Source!P242</f>
        <v>17.48</v>
      </c>
      <c r="AD336">
        <f>ROUND((Source!AT242/100)*((ROUND(0*Source!I242, 2)+ROUND(0*Source!I242, 2))), 2)</f>
        <v>0</v>
      </c>
      <c r="AE336">
        <f>ROUND((Source!AU242/100)*((ROUND(0*Source!I242, 2)+ROUND(0*Source!I242, 2))), 2)</f>
        <v>0</v>
      </c>
      <c r="AN336">
        <f>L336</f>
        <v>17.48</v>
      </c>
      <c r="AW336">
        <f>L336</f>
        <v>17.48</v>
      </c>
      <c r="AZ336">
        <f>Source!X242</f>
        <v>0</v>
      </c>
      <c r="BA336">
        <f>Source!Y242</f>
        <v>0</v>
      </c>
      <c r="CD336">
        <v>4</v>
      </c>
    </row>
    <row r="337" spans="1:83" ht="14.25">
      <c r="A337" s="42"/>
      <c r="B337" s="42"/>
      <c r="C337" s="42" t="s">
        <v>491</v>
      </c>
      <c r="D337" s="43"/>
      <c r="E337" s="47"/>
      <c r="F337" s="41"/>
      <c r="G337" s="47"/>
      <c r="H337" s="48"/>
      <c r="I337" s="46"/>
      <c r="J337" s="48"/>
      <c r="K337" s="42"/>
      <c r="L337" s="48">
        <f>SUM(AR324:AR340)+SUM(AS324:AS340)+SUM(AT324:AT340)+SUM(AU324:AU340)+SUM(AV324:AV340)</f>
        <v>902.45999999999992</v>
      </c>
    </row>
    <row r="338" spans="1:83" ht="28.5">
      <c r="A338" s="42"/>
      <c r="B338" s="42" t="s">
        <v>25</v>
      </c>
      <c r="C338" s="42" t="s">
        <v>492</v>
      </c>
      <c r="D338" s="43" t="s">
        <v>30</v>
      </c>
      <c r="E338" s="47">
        <f>Source!BZ241</f>
        <v>97</v>
      </c>
      <c r="F338" s="41"/>
      <c r="G338" s="47">
        <f>Source!AT241</f>
        <v>97</v>
      </c>
      <c r="H338" s="48"/>
      <c r="I338" s="46"/>
      <c r="J338" s="48"/>
      <c r="K338" s="42"/>
      <c r="L338" s="48">
        <f>SUM(AZ324:AZ340)</f>
        <v>875.39</v>
      </c>
    </row>
    <row r="339" spans="1:83" ht="28.5">
      <c r="A339" s="50"/>
      <c r="B339" s="50" t="s">
        <v>26</v>
      </c>
      <c r="C339" s="50" t="s">
        <v>493</v>
      </c>
      <c r="D339" s="51" t="s">
        <v>30</v>
      </c>
      <c r="E339" s="52">
        <f>Source!CA241</f>
        <v>51</v>
      </c>
      <c r="F339" s="53"/>
      <c r="G339" s="52">
        <f>Source!AU241</f>
        <v>51</v>
      </c>
      <c r="H339" s="54"/>
      <c r="I339" s="55"/>
      <c r="J339" s="54"/>
      <c r="K339" s="50"/>
      <c r="L339" s="54">
        <f>SUM(BA324:BA340)</f>
        <v>460.25</v>
      </c>
    </row>
    <row r="340" spans="1:83" ht="15">
      <c r="C340" s="111" t="s">
        <v>494</v>
      </c>
      <c r="D340" s="111"/>
      <c r="E340" s="111"/>
      <c r="F340" s="111"/>
      <c r="G340" s="111"/>
      <c r="H340" s="111"/>
      <c r="I340" s="112">
        <f>K340/E324</f>
        <v>588.33499999999992</v>
      </c>
      <c r="J340" s="112"/>
      <c r="K340" s="112">
        <f>L325+L327+L333+L338+L339+L328+SUM(L336:L336)</f>
        <v>2353.3399999999997</v>
      </c>
      <c r="L340" s="112"/>
      <c r="AD340">
        <f>ROUND((Source!AT241/100)*((ROUND(SUMIF(SmtRes!AQ42:'SmtRes'!AQ47,"=1",SmtRes!AD42:'SmtRes'!AD47)*Source!I241, 2)+ROUND(SUMIF(SmtRes!AQ42:'SmtRes'!AQ47,"=1",SmtRes!AC42:'SmtRes'!AC47)*Source!I241, 2))), 2)</f>
        <v>3967.03</v>
      </c>
      <c r="AE340">
        <f>ROUND((Source!AU241/100)*((ROUND(SUMIF(SmtRes!AQ42:'SmtRes'!AQ47,"=1",SmtRes!AD42:'SmtRes'!AD47)*Source!I241, 2)+ROUND(SUMIF(SmtRes!AQ42:'SmtRes'!AQ47,"=1",SmtRes!AC42:'SmtRes'!AC47)*Source!I241, 2))), 2)</f>
        <v>2085.7600000000002</v>
      </c>
      <c r="AN340" s="56">
        <f>L325+L327+L333+L338+L339+L328</f>
        <v>2335.8599999999997</v>
      </c>
      <c r="AO340" s="56">
        <f>L327</f>
        <v>80.03</v>
      </c>
      <c r="AQ340" t="s">
        <v>495</v>
      </c>
      <c r="AR340" s="56">
        <f>L325</f>
        <v>874.05</v>
      </c>
      <c r="AT340" s="56">
        <f>L328</f>
        <v>28.409999999999997</v>
      </c>
      <c r="AV340" t="s">
        <v>495</v>
      </c>
      <c r="AW340" s="56">
        <f>L333</f>
        <v>17.73</v>
      </c>
      <c r="AZ340">
        <f>Source!X241</f>
        <v>875.39</v>
      </c>
      <c r="BA340">
        <f>Source!Y241</f>
        <v>460.25</v>
      </c>
      <c r="CD340">
        <v>2</v>
      </c>
    </row>
    <row r="341" spans="1:83" ht="28.5">
      <c r="A341" s="40" t="s">
        <v>176</v>
      </c>
      <c r="B341" s="42" t="s">
        <v>540</v>
      </c>
      <c r="C341" s="42" t="str">
        <f>Source!G243</f>
        <v>Трансформатор тока напряжением: до 10 кВ</v>
      </c>
      <c r="D341" s="43" t="str">
        <f>Source!H243</f>
        <v>ШТ</v>
      </c>
      <c r="E341" s="47">
        <f>Source!K243</f>
        <v>12</v>
      </c>
      <c r="F341" s="41"/>
      <c r="G341" s="47">
        <f>Source!I243</f>
        <v>12</v>
      </c>
      <c r="H341" s="48"/>
      <c r="I341" s="46"/>
      <c r="J341" s="48"/>
      <c r="K341" s="42"/>
      <c r="L341" s="48"/>
    </row>
    <row r="342" spans="1:83" ht="15">
      <c r="A342" s="41"/>
      <c r="B342" s="45">
        <v>1</v>
      </c>
      <c r="C342" s="41" t="s">
        <v>483</v>
      </c>
      <c r="D342" s="43" t="s">
        <v>321</v>
      </c>
      <c r="E342" s="47"/>
      <c r="F342" s="45"/>
      <c r="G342" s="47">
        <f>Source!U243</f>
        <v>25.8</v>
      </c>
      <c r="H342" s="45"/>
      <c r="I342" s="45"/>
      <c r="J342" s="45"/>
      <c r="K342" s="45"/>
      <c r="L342" s="49">
        <f>SUM(L343:L343)-SUMIF(CE343:CE343, 1, L343:L343)</f>
        <v>7820.24</v>
      </c>
    </row>
    <row r="343" spans="1:83" ht="28.5">
      <c r="A343" s="42"/>
      <c r="B343" s="42" t="s">
        <v>336</v>
      </c>
      <c r="C343" s="42" t="s">
        <v>337</v>
      </c>
      <c r="D343" s="43" t="s">
        <v>321</v>
      </c>
      <c r="E343" s="47">
        <v>2.15</v>
      </c>
      <c r="F343" s="41"/>
      <c r="G343" s="47">
        <f>SmtRes!CX48</f>
        <v>25.8</v>
      </c>
      <c r="H343" s="48"/>
      <c r="I343" s="46"/>
      <c r="J343" s="48">
        <f>SmtRes!CZ48</f>
        <v>303.11</v>
      </c>
      <c r="K343" s="42"/>
      <c r="L343" s="48">
        <f>SmtRes!DI48</f>
        <v>7820.24</v>
      </c>
    </row>
    <row r="344" spans="1:83" ht="15">
      <c r="A344" s="41"/>
      <c r="B344" s="45">
        <v>2</v>
      </c>
      <c r="C344" s="41" t="s">
        <v>484</v>
      </c>
      <c r="D344" s="43"/>
      <c r="E344" s="47"/>
      <c r="F344" s="45"/>
      <c r="G344" s="47"/>
      <c r="H344" s="45"/>
      <c r="I344" s="45"/>
      <c r="J344" s="45"/>
      <c r="K344" s="45"/>
      <c r="L344" s="49">
        <f>SUM(L345:L351)-SUMIF(CE345:CE351, 1, L345:L351)</f>
        <v>857.59999999999968</v>
      </c>
    </row>
    <row r="345" spans="1:83" ht="15">
      <c r="A345" s="41"/>
      <c r="B345" s="45"/>
      <c r="C345" s="41" t="s">
        <v>487</v>
      </c>
      <c r="D345" s="43" t="s">
        <v>321</v>
      </c>
      <c r="E345" s="47"/>
      <c r="F345" s="45"/>
      <c r="G345" s="47">
        <f>Source!V243</f>
        <v>1.0799999999999998</v>
      </c>
      <c r="H345" s="45"/>
      <c r="I345" s="45"/>
      <c r="J345" s="45"/>
      <c r="K345" s="45"/>
      <c r="L345" s="49">
        <f>SUMIF(CE346:CE351, 1, L346:L351)</f>
        <v>362.91999999999996</v>
      </c>
      <c r="CE345">
        <v>1</v>
      </c>
    </row>
    <row r="346" spans="1:83" ht="28.5">
      <c r="A346" s="42"/>
      <c r="B346" s="42" t="s">
        <v>324</v>
      </c>
      <c r="C346" s="42" t="s">
        <v>326</v>
      </c>
      <c r="D346" s="43" t="s">
        <v>327</v>
      </c>
      <c r="E346" s="47">
        <v>3.5000000000000003E-2</v>
      </c>
      <c r="F346" s="41"/>
      <c r="G346" s="47">
        <f>SmtRes!CX50</f>
        <v>0.42</v>
      </c>
      <c r="H346" s="48"/>
      <c r="I346" s="46"/>
      <c r="J346" s="48">
        <f>SmtRes!CZ50</f>
        <v>1442.85</v>
      </c>
      <c r="K346" s="42"/>
      <c r="L346" s="48">
        <f>SmtRes!DG50</f>
        <v>606</v>
      </c>
    </row>
    <row r="347" spans="1:83" ht="28.5">
      <c r="A347" s="42"/>
      <c r="B347" s="42" t="s">
        <v>328</v>
      </c>
      <c r="C347" s="42" t="s">
        <v>485</v>
      </c>
      <c r="D347" s="43" t="s">
        <v>321</v>
      </c>
      <c r="E347" s="47">
        <f>SmtRes!DO50*SmtRes!AT50</f>
        <v>3.5000000000000003E-2</v>
      </c>
      <c r="F347" s="41"/>
      <c r="G347" s="47">
        <f>SmtRes!DO50*SmtRes!CX50</f>
        <v>0.42</v>
      </c>
      <c r="H347" s="48"/>
      <c r="I347" s="46"/>
      <c r="J347" s="48">
        <f>ROUND(SmtRes!AG50/SmtRes!DO50, 2)</f>
        <v>407.16</v>
      </c>
      <c r="K347" s="42"/>
      <c r="L347" s="48">
        <f>SmtRes!DH50</f>
        <v>171.01</v>
      </c>
      <c r="CE347">
        <v>1</v>
      </c>
    </row>
    <row r="348" spans="1:83" ht="28.5">
      <c r="A348" s="42"/>
      <c r="B348" s="42" t="s">
        <v>371</v>
      </c>
      <c r="C348" s="42" t="s">
        <v>373</v>
      </c>
      <c r="D348" s="43" t="s">
        <v>327</v>
      </c>
      <c r="E348" s="47">
        <v>0.02</v>
      </c>
      <c r="F348" s="41"/>
      <c r="G348" s="47">
        <f>SmtRes!CX51</f>
        <v>0.24</v>
      </c>
      <c r="H348" s="48">
        <f>SmtRes!CZ51</f>
        <v>55.78</v>
      </c>
      <c r="I348" s="46">
        <f>SmtRes!AJ51</f>
        <v>1.29</v>
      </c>
      <c r="J348" s="48">
        <f>ROUND(H348*I348, 2)</f>
        <v>71.959999999999994</v>
      </c>
      <c r="K348" s="42"/>
      <c r="L348" s="48">
        <f>SmtRes!DG51</f>
        <v>17.27</v>
      </c>
    </row>
    <row r="349" spans="1:83" ht="28.5">
      <c r="A349" s="42"/>
      <c r="B349" s="42" t="s">
        <v>374</v>
      </c>
      <c r="C349" s="42" t="s">
        <v>541</v>
      </c>
      <c r="D349" s="43" t="s">
        <v>321</v>
      </c>
      <c r="E349" s="47">
        <f>SmtRes!DO51*SmtRes!AT51</f>
        <v>0.02</v>
      </c>
      <c r="F349" s="41"/>
      <c r="G349" s="47">
        <f>SmtRes!DO51*SmtRes!CX51</f>
        <v>0.24</v>
      </c>
      <c r="H349" s="48"/>
      <c r="I349" s="46"/>
      <c r="J349" s="48">
        <f>ROUND(SmtRes!AG51/SmtRes!DO51, 2)</f>
        <v>269.18</v>
      </c>
      <c r="K349" s="42"/>
      <c r="L349" s="48">
        <f>SmtRes!DH51</f>
        <v>64.599999999999994</v>
      </c>
      <c r="CE349">
        <v>1</v>
      </c>
    </row>
    <row r="350" spans="1:83" ht="28.5">
      <c r="A350" s="42"/>
      <c r="B350" s="42" t="s">
        <v>329</v>
      </c>
      <c r="C350" s="42" t="s">
        <v>331</v>
      </c>
      <c r="D350" s="43" t="s">
        <v>327</v>
      </c>
      <c r="E350" s="47">
        <v>3.5000000000000003E-2</v>
      </c>
      <c r="F350" s="41"/>
      <c r="G350" s="47">
        <f>SmtRes!CX52</f>
        <v>0.42</v>
      </c>
      <c r="H350" s="48"/>
      <c r="I350" s="46"/>
      <c r="J350" s="48">
        <f>SmtRes!CZ52</f>
        <v>557.94000000000005</v>
      </c>
      <c r="K350" s="42"/>
      <c r="L350" s="48">
        <f>SmtRes!DG52</f>
        <v>234.33</v>
      </c>
    </row>
    <row r="351" spans="1:83" ht="28.5">
      <c r="A351" s="42"/>
      <c r="B351" s="42" t="s">
        <v>332</v>
      </c>
      <c r="C351" s="42" t="s">
        <v>486</v>
      </c>
      <c r="D351" s="43" t="s">
        <v>321</v>
      </c>
      <c r="E351" s="47">
        <f>SmtRes!DO52*SmtRes!AT52</f>
        <v>3.5000000000000003E-2</v>
      </c>
      <c r="F351" s="41"/>
      <c r="G351" s="47">
        <f>SmtRes!DO52*SmtRes!CX52</f>
        <v>0.42</v>
      </c>
      <c r="H351" s="48"/>
      <c r="I351" s="46"/>
      <c r="J351" s="48">
        <f>ROUND(SmtRes!AG52/SmtRes!DO52, 2)</f>
        <v>303.11</v>
      </c>
      <c r="K351" s="42"/>
      <c r="L351" s="48">
        <f>SmtRes!DH52</f>
        <v>127.31</v>
      </c>
      <c r="CE351">
        <v>1</v>
      </c>
    </row>
    <row r="352" spans="1:83" ht="15">
      <c r="A352" s="41"/>
      <c r="B352" s="45">
        <v>4</v>
      </c>
      <c r="C352" s="41" t="s">
        <v>488</v>
      </c>
      <c r="D352" s="43"/>
      <c r="E352" s="47"/>
      <c r="F352" s="45"/>
      <c r="G352" s="47"/>
      <c r="H352" s="45"/>
      <c r="I352" s="45"/>
      <c r="J352" s="45"/>
      <c r="K352" s="45"/>
      <c r="L352" s="49">
        <f>SUM(L353:L354)-SUMIF(CE353:CE354, 1, L353:L354)</f>
        <v>2099.02</v>
      </c>
    </row>
    <row r="353" spans="1:83" ht="28.5">
      <c r="A353" s="42"/>
      <c r="B353" s="42" t="s">
        <v>345</v>
      </c>
      <c r="C353" s="42" t="s">
        <v>347</v>
      </c>
      <c r="D353" s="43" t="s">
        <v>344</v>
      </c>
      <c r="E353" s="47">
        <v>0.39</v>
      </c>
      <c r="F353" s="41"/>
      <c r="G353" s="47">
        <f>SmtRes!CX53</f>
        <v>4.68</v>
      </c>
      <c r="H353" s="48">
        <f>SmtRes!CZ53</f>
        <v>174.93</v>
      </c>
      <c r="I353" s="46">
        <f>SmtRes!AI53</f>
        <v>1.1100000000000001</v>
      </c>
      <c r="J353" s="48">
        <f>ROUND(H353*I353, 2)</f>
        <v>194.17</v>
      </c>
      <c r="K353" s="42"/>
      <c r="L353" s="48">
        <f>SmtRes!DF53</f>
        <v>908.72</v>
      </c>
    </row>
    <row r="354" spans="1:83" ht="14.25">
      <c r="A354" s="42"/>
      <c r="B354" s="42" t="s">
        <v>375</v>
      </c>
      <c r="C354" s="50" t="s">
        <v>377</v>
      </c>
      <c r="D354" s="51" t="s">
        <v>378</v>
      </c>
      <c r="E354" s="52">
        <v>0.1</v>
      </c>
      <c r="F354" s="53"/>
      <c r="G354" s="52">
        <f>SmtRes!CX54</f>
        <v>1.2</v>
      </c>
      <c r="H354" s="54">
        <f>SmtRes!CZ54</f>
        <v>944.69</v>
      </c>
      <c r="I354" s="55">
        <f>SmtRes!AI54</f>
        <v>1.05</v>
      </c>
      <c r="J354" s="54">
        <f>ROUND(H354*I354, 2)</f>
        <v>991.92</v>
      </c>
      <c r="K354" s="50"/>
      <c r="L354" s="54">
        <f>SmtRes!DF54</f>
        <v>1190.3</v>
      </c>
    </row>
    <row r="355" spans="1:83" ht="15">
      <c r="A355" s="42"/>
      <c r="B355" s="42"/>
      <c r="C355" s="58" t="s">
        <v>489</v>
      </c>
      <c r="D355" s="43"/>
      <c r="E355" s="47"/>
      <c r="F355" s="41"/>
      <c r="G355" s="47"/>
      <c r="H355" s="48"/>
      <c r="I355" s="46"/>
      <c r="J355" s="48"/>
      <c r="K355" s="42"/>
      <c r="L355" s="48">
        <f>L342+L344+L345+L352</f>
        <v>11139.78</v>
      </c>
    </row>
    <row r="356" spans="1:83" ht="57">
      <c r="A356" s="40" t="s">
        <v>542</v>
      </c>
      <c r="B356" s="42" t="str">
        <f>Source!F244</f>
        <v>421/пр_2020_п.75_пп.а</v>
      </c>
      <c r="C356" s="42" t="str">
        <f>Source!G244</f>
        <v>Сметная стоимость вспомогательных ненормируемых материальных ресурсов, не учтенная в сметной норме, 2%</v>
      </c>
      <c r="D356" s="43" t="str">
        <f>Source!H244</f>
        <v>%</v>
      </c>
      <c r="E356" s="47">
        <f>SmtRes!AT55</f>
        <v>2</v>
      </c>
      <c r="F356" s="41"/>
      <c r="G356" s="47">
        <f>Source!I244</f>
        <v>2</v>
      </c>
      <c r="H356" s="48"/>
      <c r="I356" s="46"/>
      <c r="J356" s="48"/>
      <c r="K356" s="42"/>
      <c r="L356" s="48">
        <f>Source!P244</f>
        <v>156.4</v>
      </c>
      <c r="AD356">
        <f>ROUND((Source!AT244/100)*((ROUND(0*Source!I244, 2)+ROUND(0*Source!I244, 2))), 2)</f>
        <v>0</v>
      </c>
      <c r="AE356">
        <f>ROUND((Source!AU244/100)*((ROUND(0*Source!I244, 2)+ROUND(0*Source!I244, 2))), 2)</f>
        <v>0</v>
      </c>
      <c r="AN356">
        <f>L356</f>
        <v>156.4</v>
      </c>
      <c r="AW356">
        <f>L356</f>
        <v>156.4</v>
      </c>
      <c r="AZ356">
        <f>Source!X244</f>
        <v>0</v>
      </c>
      <c r="BA356">
        <f>Source!Y244</f>
        <v>0</v>
      </c>
      <c r="CD356">
        <v>4</v>
      </c>
    </row>
    <row r="357" spans="1:83" ht="14.25">
      <c r="A357" s="42"/>
      <c r="B357" s="42"/>
      <c r="C357" s="42" t="s">
        <v>491</v>
      </c>
      <c r="D357" s="43"/>
      <c r="E357" s="47"/>
      <c r="F357" s="41"/>
      <c r="G357" s="47"/>
      <c r="H357" s="48"/>
      <c r="I357" s="46"/>
      <c r="J357" s="48"/>
      <c r="K357" s="42"/>
      <c r="L357" s="48">
        <f>SUM(AR341:AR360)+SUM(AS341:AS360)+SUM(AT341:AT360)+SUM(AU341:AU360)+SUM(AV341:AV360)</f>
        <v>8183.16</v>
      </c>
    </row>
    <row r="358" spans="1:83" ht="28.5">
      <c r="A358" s="42"/>
      <c r="B358" s="42" t="s">
        <v>25</v>
      </c>
      <c r="C358" s="42" t="s">
        <v>492</v>
      </c>
      <c r="D358" s="43" t="s">
        <v>30</v>
      </c>
      <c r="E358" s="47">
        <f>Source!BZ243</f>
        <v>97</v>
      </c>
      <c r="F358" s="41"/>
      <c r="G358" s="47">
        <f>Source!AT243</f>
        <v>97</v>
      </c>
      <c r="H358" s="48"/>
      <c r="I358" s="46"/>
      <c r="J358" s="48"/>
      <c r="K358" s="42"/>
      <c r="L358" s="48">
        <f>SUM(AZ341:AZ360)</f>
        <v>7937.67</v>
      </c>
    </row>
    <row r="359" spans="1:83" ht="28.5">
      <c r="A359" s="50"/>
      <c r="B359" s="50" t="s">
        <v>26</v>
      </c>
      <c r="C359" s="50" t="s">
        <v>493</v>
      </c>
      <c r="D359" s="51" t="s">
        <v>30</v>
      </c>
      <c r="E359" s="52">
        <f>Source!CA243</f>
        <v>51</v>
      </c>
      <c r="F359" s="53"/>
      <c r="G359" s="52">
        <f>Source!AU243</f>
        <v>51</v>
      </c>
      <c r="H359" s="54"/>
      <c r="I359" s="55"/>
      <c r="J359" s="54"/>
      <c r="K359" s="50"/>
      <c r="L359" s="54">
        <f>SUM(BA341:BA360)</f>
        <v>4173.41</v>
      </c>
    </row>
    <row r="360" spans="1:83" ht="15">
      <c r="C360" s="111" t="s">
        <v>494</v>
      </c>
      <c r="D360" s="111"/>
      <c r="E360" s="111"/>
      <c r="F360" s="111"/>
      <c r="G360" s="111"/>
      <c r="H360" s="111"/>
      <c r="I360" s="112">
        <f>K360/E341</f>
        <v>1950.6049999999998</v>
      </c>
      <c r="J360" s="112"/>
      <c r="K360" s="112">
        <f>L342+L344+L352+L358+L359+L345+SUM(L356:L356)</f>
        <v>23407.26</v>
      </c>
      <c r="L360" s="112"/>
      <c r="AD360">
        <f>ROUND((Source!AT243/100)*((ROUND(SUMIF(SmtRes!AQ48:'SmtRes'!AQ55,"=1",SmtRes!AD48:'SmtRes'!AD55)*Source!I243, 2)+ROUND(SUMIF(SmtRes!AQ48:'SmtRes'!AQ55,"=1",SmtRes!AC48:'SmtRes'!AC55)*Source!I243, 2))), 2)</f>
        <v>14929</v>
      </c>
      <c r="AE360">
        <f>ROUND((Source!AU243/100)*((ROUND(SUMIF(SmtRes!AQ48:'SmtRes'!AQ55,"=1",SmtRes!AD48:'SmtRes'!AD55)*Source!I243, 2)+ROUND(SUMIF(SmtRes!AQ48:'SmtRes'!AQ55,"=1",SmtRes!AC48:'SmtRes'!AC55)*Source!I243, 2))), 2)</f>
        <v>7849.27</v>
      </c>
      <c r="AN360" s="56">
        <f>L342+L344+L352+L358+L359+L345</f>
        <v>23250.859999999997</v>
      </c>
      <c r="AO360" s="56">
        <f>L344</f>
        <v>857.59999999999968</v>
      </c>
      <c r="AQ360" t="s">
        <v>495</v>
      </c>
      <c r="AR360" s="56">
        <f>L342</f>
        <v>7820.24</v>
      </c>
      <c r="AT360" s="56">
        <f>L345</f>
        <v>362.91999999999996</v>
      </c>
      <c r="AV360" t="s">
        <v>495</v>
      </c>
      <c r="AW360" s="56">
        <f>L352</f>
        <v>2099.02</v>
      </c>
      <c r="AZ360">
        <f>Source!X243</f>
        <v>7937.67</v>
      </c>
      <c r="BA360">
        <f>Source!Y243</f>
        <v>4173.41</v>
      </c>
      <c r="CD360">
        <v>2</v>
      </c>
    </row>
    <row r="361" spans="1:83" ht="71.25">
      <c r="A361" s="40" t="s">
        <v>181</v>
      </c>
      <c r="B361" s="42" t="s">
        <v>543</v>
      </c>
      <c r="C361" s="42" t="str">
        <f>Source!G245</f>
        <v>Коробка с зажимами, устанавливаемая на конструкции на стене или колонне, для кабелей или проводов сечением: до 16 мм2, с количеством зажимов до 6</v>
      </c>
      <c r="D361" s="43" t="str">
        <f>Source!H245</f>
        <v>ШТ</v>
      </c>
      <c r="E361" s="47">
        <f>Source!K245</f>
        <v>8</v>
      </c>
      <c r="F361" s="41"/>
      <c r="G361" s="47">
        <f>Source!I245</f>
        <v>8</v>
      </c>
      <c r="H361" s="48"/>
      <c r="I361" s="46"/>
      <c r="J361" s="48"/>
      <c r="K361" s="42"/>
      <c r="L361" s="48"/>
    </row>
    <row r="362" spans="1:83" ht="15">
      <c r="A362" s="41"/>
      <c r="B362" s="45">
        <v>1</v>
      </c>
      <c r="C362" s="41" t="s">
        <v>483</v>
      </c>
      <c r="D362" s="43" t="s">
        <v>321</v>
      </c>
      <c r="E362" s="47"/>
      <c r="F362" s="45"/>
      <c r="G362" s="47">
        <f>Source!U245</f>
        <v>32</v>
      </c>
      <c r="H362" s="45"/>
      <c r="I362" s="45"/>
      <c r="J362" s="45"/>
      <c r="K362" s="45"/>
      <c r="L362" s="49">
        <f>SUM(L363:L363)-SUMIF(CE363:CE363, 1, L363:L363)</f>
        <v>9482.24</v>
      </c>
    </row>
    <row r="363" spans="1:83" ht="28.5">
      <c r="A363" s="42"/>
      <c r="B363" s="42" t="s">
        <v>361</v>
      </c>
      <c r="C363" s="42" t="s">
        <v>362</v>
      </c>
      <c r="D363" s="43" t="s">
        <v>321</v>
      </c>
      <c r="E363" s="47">
        <v>4</v>
      </c>
      <c r="F363" s="41"/>
      <c r="G363" s="47">
        <f>SmtRes!CX56</f>
        <v>32</v>
      </c>
      <c r="H363" s="48"/>
      <c r="I363" s="46"/>
      <c r="J363" s="48">
        <f>SmtRes!CZ56</f>
        <v>296.32</v>
      </c>
      <c r="K363" s="42"/>
      <c r="L363" s="48">
        <f>SmtRes!DI56</f>
        <v>9482.24</v>
      </c>
    </row>
    <row r="364" spans="1:83" ht="15">
      <c r="A364" s="41"/>
      <c r="B364" s="45">
        <v>2</v>
      </c>
      <c r="C364" s="41" t="s">
        <v>484</v>
      </c>
      <c r="D364" s="43"/>
      <c r="E364" s="47"/>
      <c r="F364" s="45"/>
      <c r="G364" s="47"/>
      <c r="H364" s="45"/>
      <c r="I364" s="45"/>
      <c r="J364" s="45"/>
      <c r="K364" s="45"/>
      <c r="L364" s="49">
        <f>SUM(L365:L371)-SUMIF(CE365:CE371, 1, L365:L371)</f>
        <v>242.28999999999996</v>
      </c>
    </row>
    <row r="365" spans="1:83" ht="15">
      <c r="A365" s="41"/>
      <c r="B365" s="45"/>
      <c r="C365" s="41" t="s">
        <v>487</v>
      </c>
      <c r="D365" s="43" t="s">
        <v>321</v>
      </c>
      <c r="E365" s="47"/>
      <c r="F365" s="45"/>
      <c r="G365" s="47">
        <f>Source!V245</f>
        <v>4.7840000000000007</v>
      </c>
      <c r="H365" s="45"/>
      <c r="I365" s="45"/>
      <c r="J365" s="45"/>
      <c r="K365" s="45"/>
      <c r="L365" s="49">
        <f>SUMIF(CE366:CE371, 1, L366:L371)</f>
        <v>56.82</v>
      </c>
      <c r="CE365">
        <v>1</v>
      </c>
    </row>
    <row r="366" spans="1:83" ht="28.5">
      <c r="A366" s="42"/>
      <c r="B366" s="42" t="s">
        <v>324</v>
      </c>
      <c r="C366" s="42" t="s">
        <v>326</v>
      </c>
      <c r="D366" s="43" t="s">
        <v>327</v>
      </c>
      <c r="E366" s="47">
        <v>0.01</v>
      </c>
      <c r="F366" s="41"/>
      <c r="G366" s="47">
        <f>SmtRes!CX58</f>
        <v>0.08</v>
      </c>
      <c r="H366" s="48"/>
      <c r="I366" s="46"/>
      <c r="J366" s="48">
        <f>SmtRes!CZ58</f>
        <v>1442.85</v>
      </c>
      <c r="K366" s="42"/>
      <c r="L366" s="48">
        <f>SmtRes!DG58</f>
        <v>115.43</v>
      </c>
    </row>
    <row r="367" spans="1:83" ht="28.5">
      <c r="A367" s="42"/>
      <c r="B367" s="42" t="s">
        <v>328</v>
      </c>
      <c r="C367" s="42" t="s">
        <v>485</v>
      </c>
      <c r="D367" s="43" t="s">
        <v>321</v>
      </c>
      <c r="E367" s="47">
        <f>SmtRes!DO58*SmtRes!AT58</f>
        <v>0.01</v>
      </c>
      <c r="F367" s="41"/>
      <c r="G367" s="47">
        <f>SmtRes!DO58*SmtRes!CX58</f>
        <v>0.08</v>
      </c>
      <c r="H367" s="48"/>
      <c r="I367" s="46"/>
      <c r="J367" s="48">
        <f>ROUND(SmtRes!AG58/SmtRes!DO58, 2)</f>
        <v>407.16</v>
      </c>
      <c r="K367" s="42"/>
      <c r="L367" s="48">
        <f>SmtRes!DH58</f>
        <v>32.57</v>
      </c>
      <c r="CE367">
        <v>1</v>
      </c>
    </row>
    <row r="368" spans="1:83" ht="28.5">
      <c r="A368" s="42"/>
      <c r="B368" s="42" t="s">
        <v>329</v>
      </c>
      <c r="C368" s="42" t="s">
        <v>331</v>
      </c>
      <c r="D368" s="43" t="s">
        <v>327</v>
      </c>
      <c r="E368" s="47">
        <v>0.01</v>
      </c>
      <c r="F368" s="41"/>
      <c r="G368" s="47">
        <f>SmtRes!CX59</f>
        <v>0.08</v>
      </c>
      <c r="H368" s="48"/>
      <c r="I368" s="46"/>
      <c r="J368" s="48">
        <f>SmtRes!CZ59</f>
        <v>557.94000000000005</v>
      </c>
      <c r="K368" s="42"/>
      <c r="L368" s="48">
        <f>SmtRes!DG59</f>
        <v>44.64</v>
      </c>
    </row>
    <row r="369" spans="1:83" ht="28.5">
      <c r="A369" s="42"/>
      <c r="B369" s="42" t="s">
        <v>332</v>
      </c>
      <c r="C369" s="42" t="s">
        <v>486</v>
      </c>
      <c r="D369" s="43" t="s">
        <v>321</v>
      </c>
      <c r="E369" s="47">
        <f>SmtRes!DO59*SmtRes!AT59</f>
        <v>0.01</v>
      </c>
      <c r="F369" s="41"/>
      <c r="G369" s="47">
        <f>SmtRes!DO59*SmtRes!CX59</f>
        <v>0.08</v>
      </c>
      <c r="H369" s="48"/>
      <c r="I369" s="46"/>
      <c r="J369" s="48">
        <f>ROUND(SmtRes!AG59/SmtRes!DO59, 2)</f>
        <v>303.11</v>
      </c>
      <c r="K369" s="42"/>
      <c r="L369" s="48">
        <f>SmtRes!DH59</f>
        <v>24.25</v>
      </c>
      <c r="CE369">
        <v>1</v>
      </c>
    </row>
    <row r="370" spans="1:83" ht="42.75">
      <c r="A370" s="42"/>
      <c r="B370" s="42" t="s">
        <v>338</v>
      </c>
      <c r="C370" s="42" t="s">
        <v>340</v>
      </c>
      <c r="D370" s="43" t="s">
        <v>327</v>
      </c>
      <c r="E370" s="47">
        <v>0.28000000000000003</v>
      </c>
      <c r="F370" s="41"/>
      <c r="G370" s="47">
        <f>SmtRes!CX60</f>
        <v>2.2400000000000002</v>
      </c>
      <c r="H370" s="48"/>
      <c r="I370" s="46"/>
      <c r="J370" s="48">
        <f>SmtRes!CZ60</f>
        <v>17.78</v>
      </c>
      <c r="K370" s="42"/>
      <c r="L370" s="48">
        <f>SmtRes!DG60</f>
        <v>39.83</v>
      </c>
    </row>
    <row r="371" spans="1:83" ht="28.5">
      <c r="A371" s="42"/>
      <c r="B371" s="42" t="s">
        <v>379</v>
      </c>
      <c r="C371" s="42" t="s">
        <v>381</v>
      </c>
      <c r="D371" s="43" t="s">
        <v>327</v>
      </c>
      <c r="E371" s="47">
        <v>0.29799999999999999</v>
      </c>
      <c r="F371" s="41"/>
      <c r="G371" s="47">
        <f>SmtRes!CX61</f>
        <v>2.3839999999999999</v>
      </c>
      <c r="H371" s="48"/>
      <c r="I371" s="46"/>
      <c r="J371" s="48">
        <f>SmtRes!CZ61</f>
        <v>17.78</v>
      </c>
      <c r="K371" s="42"/>
      <c r="L371" s="48">
        <f>SmtRes!DG61</f>
        <v>42.39</v>
      </c>
    </row>
    <row r="372" spans="1:83" ht="15">
      <c r="A372" s="41"/>
      <c r="B372" s="45">
        <v>4</v>
      </c>
      <c r="C372" s="41" t="s">
        <v>488</v>
      </c>
      <c r="D372" s="43"/>
      <c r="E372" s="47"/>
      <c r="F372" s="45"/>
      <c r="G372" s="47"/>
      <c r="H372" s="45"/>
      <c r="I372" s="45"/>
      <c r="J372" s="45"/>
      <c r="K372" s="45"/>
      <c r="L372" s="49">
        <f>SUM(L373:L384)-SUMIF(CE373:CE384, 1, L373:L384)</f>
        <v>6514.0699999999988</v>
      </c>
    </row>
    <row r="373" spans="1:83" ht="14.25">
      <c r="A373" s="42"/>
      <c r="B373" s="42" t="s">
        <v>382</v>
      </c>
      <c r="C373" s="42" t="s">
        <v>384</v>
      </c>
      <c r="D373" s="43" t="s">
        <v>344</v>
      </c>
      <c r="E373" s="47">
        <v>1.2E-2</v>
      </c>
      <c r="F373" s="41"/>
      <c r="G373" s="47">
        <f>SmtRes!CX62</f>
        <v>9.6000000000000002E-2</v>
      </c>
      <c r="H373" s="48">
        <f>SmtRes!CZ62</f>
        <v>150.04</v>
      </c>
      <c r="I373" s="46">
        <f>SmtRes!AI62</f>
        <v>1.5</v>
      </c>
      <c r="J373" s="48">
        <f>ROUND(H373*I373, 2)</f>
        <v>225.06</v>
      </c>
      <c r="K373" s="42"/>
      <c r="L373" s="48">
        <f>SmtRes!DF62</f>
        <v>21.61</v>
      </c>
    </row>
    <row r="374" spans="1:83" ht="14.25">
      <c r="A374" s="42"/>
      <c r="B374" s="42" t="s">
        <v>385</v>
      </c>
      <c r="C374" s="42" t="s">
        <v>387</v>
      </c>
      <c r="D374" s="43" t="s">
        <v>344</v>
      </c>
      <c r="E374" s="47">
        <v>5.0000000000000001E-3</v>
      </c>
      <c r="F374" s="41"/>
      <c r="G374" s="47">
        <f>SmtRes!CX63</f>
        <v>0.04</v>
      </c>
      <c r="H374" s="48">
        <f>SmtRes!CZ63</f>
        <v>187.38</v>
      </c>
      <c r="I374" s="46">
        <f>SmtRes!AI63</f>
        <v>0.91</v>
      </c>
      <c r="J374" s="48">
        <f>ROUND(H374*I374, 2)</f>
        <v>170.52</v>
      </c>
      <c r="K374" s="42"/>
      <c r="L374" s="48">
        <f>SmtRes!DF63</f>
        <v>6.82</v>
      </c>
    </row>
    <row r="375" spans="1:83" ht="14.25">
      <c r="A375" s="42"/>
      <c r="B375" s="42" t="s">
        <v>388</v>
      </c>
      <c r="C375" s="42" t="s">
        <v>390</v>
      </c>
      <c r="D375" s="43" t="s">
        <v>391</v>
      </c>
      <c r="E375" s="47">
        <v>2.0799999999999999E-2</v>
      </c>
      <c r="F375" s="41"/>
      <c r="G375" s="47">
        <f>SmtRes!CX64</f>
        <v>0.16639999999999999</v>
      </c>
      <c r="H375" s="48"/>
      <c r="I375" s="46"/>
      <c r="J375" s="48">
        <f>SmtRes!CZ64</f>
        <v>6.45</v>
      </c>
      <c r="K375" s="42"/>
      <c r="L375" s="48">
        <f>SmtRes!DF64</f>
        <v>1.07</v>
      </c>
    </row>
    <row r="376" spans="1:83" ht="71.25">
      <c r="A376" s="42"/>
      <c r="B376" s="42" t="s">
        <v>392</v>
      </c>
      <c r="C376" s="42" t="s">
        <v>394</v>
      </c>
      <c r="D376" s="43" t="s">
        <v>135</v>
      </c>
      <c r="E376" s="47">
        <v>4</v>
      </c>
      <c r="F376" s="41"/>
      <c r="G376" s="47">
        <f>SmtRes!CX65</f>
        <v>32</v>
      </c>
      <c r="H376" s="48">
        <f>SmtRes!CZ65</f>
        <v>5.87</v>
      </c>
      <c r="I376" s="46">
        <f>SmtRes!AI65</f>
        <v>1.1299999999999999</v>
      </c>
      <c r="J376" s="48">
        <f t="shared" ref="J376:J384" si="1">ROUND(H376*I376, 2)</f>
        <v>6.63</v>
      </c>
      <c r="K376" s="42"/>
      <c r="L376" s="48">
        <f>SmtRes!DF65</f>
        <v>212.16</v>
      </c>
    </row>
    <row r="377" spans="1:83" ht="57">
      <c r="A377" s="42"/>
      <c r="B377" s="42" t="s">
        <v>341</v>
      </c>
      <c r="C377" s="42" t="s">
        <v>343</v>
      </c>
      <c r="D377" s="43" t="s">
        <v>344</v>
      </c>
      <c r="E377" s="47">
        <v>7.0000000000000007E-2</v>
      </c>
      <c r="F377" s="41"/>
      <c r="G377" s="47">
        <f>SmtRes!CX66</f>
        <v>0.56000000000000005</v>
      </c>
      <c r="H377" s="48">
        <f>SmtRes!CZ66</f>
        <v>155.63</v>
      </c>
      <c r="I377" s="46">
        <f>SmtRes!AI66</f>
        <v>1.03</v>
      </c>
      <c r="J377" s="48">
        <f t="shared" si="1"/>
        <v>160.30000000000001</v>
      </c>
      <c r="K377" s="42"/>
      <c r="L377" s="48">
        <f>SmtRes!DF66</f>
        <v>89.77</v>
      </c>
    </row>
    <row r="378" spans="1:83" ht="28.5">
      <c r="A378" s="42"/>
      <c r="B378" s="42" t="s">
        <v>345</v>
      </c>
      <c r="C378" s="42" t="s">
        <v>347</v>
      </c>
      <c r="D378" s="43" t="s">
        <v>344</v>
      </c>
      <c r="E378" s="47">
        <v>0.40100000000000002</v>
      </c>
      <c r="F378" s="41"/>
      <c r="G378" s="47">
        <f>SmtRes!CX67</f>
        <v>3.2080000000000002</v>
      </c>
      <c r="H378" s="48">
        <f>SmtRes!CZ67</f>
        <v>174.93</v>
      </c>
      <c r="I378" s="46">
        <f>SmtRes!AI67</f>
        <v>1.1100000000000001</v>
      </c>
      <c r="J378" s="48">
        <f t="shared" si="1"/>
        <v>194.17</v>
      </c>
      <c r="K378" s="42"/>
      <c r="L378" s="48">
        <f>SmtRes!DF67</f>
        <v>622.9</v>
      </c>
    </row>
    <row r="379" spans="1:83" ht="14.25">
      <c r="A379" s="42"/>
      <c r="B379" s="42" t="s">
        <v>395</v>
      </c>
      <c r="C379" s="42" t="s">
        <v>397</v>
      </c>
      <c r="D379" s="43" t="s">
        <v>44</v>
      </c>
      <c r="E379" s="47">
        <v>1.4E-2</v>
      </c>
      <c r="F379" s="41"/>
      <c r="G379" s="47">
        <f>SmtRes!CX68</f>
        <v>0.112</v>
      </c>
      <c r="H379" s="48">
        <f>SmtRes!CZ68</f>
        <v>41.71</v>
      </c>
      <c r="I379" s="46">
        <f>SmtRes!AI68</f>
        <v>1.1599999999999999</v>
      </c>
      <c r="J379" s="48">
        <f t="shared" si="1"/>
        <v>48.38</v>
      </c>
      <c r="K379" s="42"/>
      <c r="L379" s="48">
        <f>SmtRes!DF68</f>
        <v>5.42</v>
      </c>
    </row>
    <row r="380" spans="1:83" ht="14.25">
      <c r="A380" s="42"/>
      <c r="B380" s="42" t="s">
        <v>398</v>
      </c>
      <c r="C380" s="42" t="s">
        <v>400</v>
      </c>
      <c r="D380" s="43" t="s">
        <v>344</v>
      </c>
      <c r="E380" s="47">
        <v>4.0000000000000001E-3</v>
      </c>
      <c r="F380" s="41"/>
      <c r="G380" s="47">
        <f>SmtRes!CX69</f>
        <v>3.2000000000000001E-2</v>
      </c>
      <c r="H380" s="48">
        <f>SmtRes!CZ69</f>
        <v>395.65</v>
      </c>
      <c r="I380" s="46">
        <f>SmtRes!AI69</f>
        <v>1.91</v>
      </c>
      <c r="J380" s="48">
        <f t="shared" si="1"/>
        <v>755.69</v>
      </c>
      <c r="K380" s="42"/>
      <c r="L380" s="48">
        <f>SmtRes!DF69</f>
        <v>24.18</v>
      </c>
    </row>
    <row r="381" spans="1:83" ht="42.75">
      <c r="A381" s="42"/>
      <c r="B381" s="42" t="s">
        <v>358</v>
      </c>
      <c r="C381" s="42" t="s">
        <v>360</v>
      </c>
      <c r="D381" s="43" t="s">
        <v>37</v>
      </c>
      <c r="E381" s="47">
        <v>5.0000000000000001E-3</v>
      </c>
      <c r="F381" s="41"/>
      <c r="G381" s="47">
        <f>SmtRes!CX70</f>
        <v>0.04</v>
      </c>
      <c r="H381" s="48">
        <f>SmtRes!CZ70</f>
        <v>105278.81</v>
      </c>
      <c r="I381" s="46">
        <f>SmtRes!AI70</f>
        <v>1.1100000000000001</v>
      </c>
      <c r="J381" s="48">
        <f t="shared" si="1"/>
        <v>116859.48</v>
      </c>
      <c r="K381" s="42"/>
      <c r="L381" s="48">
        <f>SmtRes!DF70</f>
        <v>4674.38</v>
      </c>
    </row>
    <row r="382" spans="1:83" ht="28.5">
      <c r="A382" s="42"/>
      <c r="B382" s="42" t="s">
        <v>363</v>
      </c>
      <c r="C382" s="42" t="s">
        <v>365</v>
      </c>
      <c r="D382" s="43" t="s">
        <v>344</v>
      </c>
      <c r="E382" s="47">
        <v>5.3999999999999999E-2</v>
      </c>
      <c r="F382" s="41"/>
      <c r="G382" s="47">
        <f>SmtRes!CX71</f>
        <v>0.432</v>
      </c>
      <c r="H382" s="48">
        <f>SmtRes!CZ71</f>
        <v>79.88</v>
      </c>
      <c r="I382" s="46">
        <f>SmtRes!AI71</f>
        <v>1.37</v>
      </c>
      <c r="J382" s="48">
        <f t="shared" si="1"/>
        <v>109.44</v>
      </c>
      <c r="K382" s="42"/>
      <c r="L382" s="48">
        <f>SmtRes!DF71</f>
        <v>47.28</v>
      </c>
    </row>
    <row r="383" spans="1:83" ht="14.25">
      <c r="A383" s="42"/>
      <c r="B383" s="42" t="s">
        <v>401</v>
      </c>
      <c r="C383" s="42" t="s">
        <v>403</v>
      </c>
      <c r="D383" s="43" t="s">
        <v>344</v>
      </c>
      <c r="E383" s="47">
        <v>1.2E-2</v>
      </c>
      <c r="F383" s="41"/>
      <c r="G383" s="47">
        <f>SmtRes!CX72</f>
        <v>9.6000000000000002E-2</v>
      </c>
      <c r="H383" s="48">
        <f>SmtRes!CZ72</f>
        <v>135.32</v>
      </c>
      <c r="I383" s="46">
        <f>SmtRes!AI72</f>
        <v>1.1499999999999999</v>
      </c>
      <c r="J383" s="48">
        <f t="shared" si="1"/>
        <v>155.62</v>
      </c>
      <c r="K383" s="42"/>
      <c r="L383" s="48">
        <f>SmtRes!DF72</f>
        <v>14.94</v>
      </c>
    </row>
    <row r="384" spans="1:83" ht="14.25">
      <c r="A384" s="42"/>
      <c r="B384" s="42" t="s">
        <v>375</v>
      </c>
      <c r="C384" s="50" t="s">
        <v>377</v>
      </c>
      <c r="D384" s="51" t="s">
        <v>378</v>
      </c>
      <c r="E384" s="52">
        <v>0.1</v>
      </c>
      <c r="F384" s="53"/>
      <c r="G384" s="52">
        <f>SmtRes!CX73</f>
        <v>0.8</v>
      </c>
      <c r="H384" s="54">
        <f>SmtRes!CZ73</f>
        <v>944.69</v>
      </c>
      <c r="I384" s="55">
        <f>SmtRes!AI73</f>
        <v>1.05</v>
      </c>
      <c r="J384" s="54">
        <f t="shared" si="1"/>
        <v>991.92</v>
      </c>
      <c r="K384" s="50"/>
      <c r="L384" s="54">
        <f>SmtRes!DF73</f>
        <v>793.54</v>
      </c>
    </row>
    <row r="385" spans="1:83" ht="15">
      <c r="A385" s="42"/>
      <c r="B385" s="42"/>
      <c r="C385" s="58" t="s">
        <v>489</v>
      </c>
      <c r="D385" s="43"/>
      <c r="E385" s="47"/>
      <c r="F385" s="41"/>
      <c r="G385" s="47"/>
      <c r="H385" s="48"/>
      <c r="I385" s="46"/>
      <c r="J385" s="48"/>
      <c r="K385" s="42"/>
      <c r="L385" s="48">
        <f>L362+L364+L365+L372</f>
        <v>16295.419999999998</v>
      </c>
    </row>
    <row r="386" spans="1:83" ht="57">
      <c r="A386" s="40" t="s">
        <v>544</v>
      </c>
      <c r="B386" s="42" t="str">
        <f>Source!F246</f>
        <v>421/пр_2020_п.75_пп.а</v>
      </c>
      <c r="C386" s="42" t="str">
        <f>Source!G246</f>
        <v>Сметная стоимость вспомогательных ненормируемых материальных ресурсов, не учтенная в сметной норме, 2%</v>
      </c>
      <c r="D386" s="43" t="str">
        <f>Source!H246</f>
        <v>%</v>
      </c>
      <c r="E386" s="47">
        <f>SmtRes!AT74</f>
        <v>2</v>
      </c>
      <c r="F386" s="41"/>
      <c r="G386" s="47">
        <f>Source!I246</f>
        <v>2</v>
      </c>
      <c r="H386" s="48"/>
      <c r="I386" s="46"/>
      <c r="J386" s="48"/>
      <c r="K386" s="42"/>
      <c r="L386" s="48">
        <f>Source!P246</f>
        <v>189.64</v>
      </c>
      <c r="AD386">
        <f>ROUND((Source!AT246/100)*((ROUND(0*Source!I246, 2)+ROUND(0*Source!I246, 2))), 2)</f>
        <v>0</v>
      </c>
      <c r="AE386">
        <f>ROUND((Source!AU246/100)*((ROUND(0*Source!I246, 2)+ROUND(0*Source!I246, 2))), 2)</f>
        <v>0</v>
      </c>
      <c r="AN386">
        <f>L386</f>
        <v>189.64</v>
      </c>
      <c r="AW386">
        <f>L386</f>
        <v>189.64</v>
      </c>
      <c r="AZ386">
        <f>Source!X246</f>
        <v>0</v>
      </c>
      <c r="BA386">
        <f>Source!Y246</f>
        <v>0</v>
      </c>
      <c r="CD386">
        <v>4</v>
      </c>
    </row>
    <row r="387" spans="1:83" ht="14.25">
      <c r="A387" s="42"/>
      <c r="B387" s="42"/>
      <c r="C387" s="42" t="s">
        <v>491</v>
      </c>
      <c r="D387" s="43"/>
      <c r="E387" s="47"/>
      <c r="F387" s="41"/>
      <c r="G387" s="47"/>
      <c r="H387" s="48"/>
      <c r="I387" s="46"/>
      <c r="J387" s="48"/>
      <c r="K387" s="42"/>
      <c r="L387" s="48">
        <f>SUM(AR361:AR390)+SUM(AS361:AS390)+SUM(AT361:AT390)+SUM(AU361:AU390)+SUM(AV361:AV390)</f>
        <v>9539.06</v>
      </c>
    </row>
    <row r="388" spans="1:83" ht="28.5">
      <c r="A388" s="42"/>
      <c r="B388" s="42" t="s">
        <v>25</v>
      </c>
      <c r="C388" s="42" t="s">
        <v>492</v>
      </c>
      <c r="D388" s="43" t="s">
        <v>30</v>
      </c>
      <c r="E388" s="47">
        <f>Source!BZ245</f>
        <v>97</v>
      </c>
      <c r="F388" s="41"/>
      <c r="G388" s="47">
        <f>Source!AT245</f>
        <v>97</v>
      </c>
      <c r="H388" s="48"/>
      <c r="I388" s="46"/>
      <c r="J388" s="48"/>
      <c r="K388" s="42"/>
      <c r="L388" s="48">
        <f>SUM(AZ361:AZ390)</f>
        <v>9252.89</v>
      </c>
    </row>
    <row r="389" spans="1:83" ht="28.5">
      <c r="A389" s="50"/>
      <c r="B389" s="50" t="s">
        <v>26</v>
      </c>
      <c r="C389" s="50" t="s">
        <v>493</v>
      </c>
      <c r="D389" s="51" t="s">
        <v>30</v>
      </c>
      <c r="E389" s="52">
        <f>Source!CA245</f>
        <v>51</v>
      </c>
      <c r="F389" s="53"/>
      <c r="G389" s="52">
        <f>Source!AU245</f>
        <v>51</v>
      </c>
      <c r="H389" s="54"/>
      <c r="I389" s="55"/>
      <c r="J389" s="54"/>
      <c r="K389" s="50"/>
      <c r="L389" s="54">
        <f>SUM(BA361:BA390)</f>
        <v>4864.92</v>
      </c>
    </row>
    <row r="390" spans="1:83" ht="15">
      <c r="C390" s="111" t="s">
        <v>494</v>
      </c>
      <c r="D390" s="111"/>
      <c r="E390" s="111"/>
      <c r="F390" s="111"/>
      <c r="G390" s="111"/>
      <c r="H390" s="111"/>
      <c r="I390" s="112">
        <f>K390/E361</f>
        <v>3825.3587499999994</v>
      </c>
      <c r="J390" s="112"/>
      <c r="K390" s="112">
        <f>L362+L364+L372+L388+L389+L365+SUM(L386:L386)</f>
        <v>30602.869999999995</v>
      </c>
      <c r="L390" s="112"/>
      <c r="AD390">
        <f>ROUND((Source!AT245/100)*((ROUND(SUMIF(SmtRes!AQ56:'SmtRes'!AQ74,"=1",SmtRes!AD56:'SmtRes'!AD74)*Source!I245, 2)+ROUND(SUMIF(SmtRes!AQ56:'SmtRes'!AQ74,"=1",SmtRes!AC56:'SmtRes'!AC74)*Source!I245, 2))), 2)</f>
        <v>7811.14</v>
      </c>
      <c r="AE390">
        <f>ROUND((Source!AU245/100)*((ROUND(SUMIF(SmtRes!AQ56:'SmtRes'!AQ74,"=1",SmtRes!AD56:'SmtRes'!AD74)*Source!I245, 2)+ROUND(SUMIF(SmtRes!AQ56:'SmtRes'!AQ74,"=1",SmtRes!AC56:'SmtRes'!AC74)*Source!I245, 2))), 2)</f>
        <v>4106.8900000000003</v>
      </c>
      <c r="AN390" s="56">
        <f>L362+L364+L372+L388+L389+L365</f>
        <v>30413.229999999996</v>
      </c>
      <c r="AO390" s="56">
        <f>L364</f>
        <v>242.28999999999996</v>
      </c>
      <c r="AQ390" t="s">
        <v>495</v>
      </c>
      <c r="AR390" s="56">
        <f>L362</f>
        <v>9482.24</v>
      </c>
      <c r="AT390" s="56">
        <f>L365</f>
        <v>56.82</v>
      </c>
      <c r="AV390" t="s">
        <v>495</v>
      </c>
      <c r="AW390" s="56">
        <f>L372</f>
        <v>6514.0699999999988</v>
      </c>
      <c r="AZ390">
        <f>Source!X245</f>
        <v>9252.89</v>
      </c>
      <c r="BA390">
        <f>Source!Y245</f>
        <v>4864.92</v>
      </c>
      <c r="CD390">
        <v>2</v>
      </c>
    </row>
    <row r="391" spans="1:83" ht="42.75">
      <c r="A391" s="40" t="s">
        <v>186</v>
      </c>
      <c r="B391" s="42" t="s">
        <v>545</v>
      </c>
      <c r="C391" s="42" t="str">
        <f>Source!G247</f>
        <v>Автомат одно-, двух-, трехполюсный, устанавливаемый на конструкции: на стене или колонне, на ток до 25 А</v>
      </c>
      <c r="D391" s="43" t="str">
        <f>Source!H247</f>
        <v>ШТ</v>
      </c>
      <c r="E391" s="47">
        <f>Source!K247</f>
        <v>1</v>
      </c>
      <c r="F391" s="41"/>
      <c r="G391" s="47">
        <f>Source!I247</f>
        <v>1</v>
      </c>
      <c r="H391" s="48"/>
      <c r="I391" s="46"/>
      <c r="J391" s="48"/>
      <c r="K391" s="42"/>
      <c r="L391" s="48"/>
    </row>
    <row r="392" spans="1:83" ht="15">
      <c r="A392" s="41"/>
      <c r="B392" s="45">
        <v>1</v>
      </c>
      <c r="C392" s="41" t="s">
        <v>483</v>
      </c>
      <c r="D392" s="43" t="s">
        <v>321</v>
      </c>
      <c r="E392" s="47"/>
      <c r="F392" s="45"/>
      <c r="G392" s="47">
        <f>Source!U247</f>
        <v>1.34</v>
      </c>
      <c r="H392" s="45"/>
      <c r="I392" s="45"/>
      <c r="J392" s="45"/>
      <c r="K392" s="45"/>
      <c r="L392" s="49">
        <f>SUM(L393:L393)-SUMIF(CE393:CE393, 1, L393:L393)</f>
        <v>401.62</v>
      </c>
    </row>
    <row r="393" spans="1:83" ht="28.5">
      <c r="A393" s="42"/>
      <c r="B393" s="42" t="s">
        <v>404</v>
      </c>
      <c r="C393" s="42" t="s">
        <v>405</v>
      </c>
      <c r="D393" s="43" t="s">
        <v>321</v>
      </c>
      <c r="E393" s="47">
        <v>1.34</v>
      </c>
      <c r="F393" s="41"/>
      <c r="G393" s="47">
        <f>SmtRes!CX75</f>
        <v>1.34</v>
      </c>
      <c r="H393" s="48"/>
      <c r="I393" s="46"/>
      <c r="J393" s="48">
        <f>SmtRes!CZ75</f>
        <v>299.72000000000003</v>
      </c>
      <c r="K393" s="42"/>
      <c r="L393" s="48">
        <f>SmtRes!DI75</f>
        <v>401.62</v>
      </c>
    </row>
    <row r="394" spans="1:83" ht="15">
      <c r="A394" s="41"/>
      <c r="B394" s="45">
        <v>2</v>
      </c>
      <c r="C394" s="41" t="s">
        <v>484</v>
      </c>
      <c r="D394" s="43"/>
      <c r="E394" s="47"/>
      <c r="F394" s="45"/>
      <c r="G394" s="47"/>
      <c r="H394" s="45"/>
      <c r="I394" s="45"/>
      <c r="J394" s="45"/>
      <c r="K394" s="45"/>
      <c r="L394" s="49">
        <f>SUM(L395:L396)-SUMIF(CE395:CE396, 1, L395:L396)</f>
        <v>1.92</v>
      </c>
    </row>
    <row r="395" spans="1:83" ht="15">
      <c r="A395" s="41"/>
      <c r="B395" s="45"/>
      <c r="C395" s="41" t="s">
        <v>487</v>
      </c>
      <c r="D395" s="43" t="s">
        <v>321</v>
      </c>
      <c r="E395" s="47"/>
      <c r="F395" s="45"/>
      <c r="G395" s="47">
        <f>Source!V247</f>
        <v>0.108</v>
      </c>
      <c r="H395" s="45"/>
      <c r="I395" s="45"/>
      <c r="J395" s="45"/>
      <c r="K395" s="45"/>
      <c r="L395" s="49">
        <f>SUMIF(CE396:CE396, 1, L396:L396)</f>
        <v>0</v>
      </c>
      <c r="CE395">
        <v>1</v>
      </c>
    </row>
    <row r="396" spans="1:83" ht="42.75">
      <c r="A396" s="42"/>
      <c r="B396" s="42" t="s">
        <v>338</v>
      </c>
      <c r="C396" s="42" t="s">
        <v>340</v>
      </c>
      <c r="D396" s="43" t="s">
        <v>327</v>
      </c>
      <c r="E396" s="47">
        <v>0.108</v>
      </c>
      <c r="F396" s="41"/>
      <c r="G396" s="47">
        <f>SmtRes!CX76</f>
        <v>0.108</v>
      </c>
      <c r="H396" s="48"/>
      <c r="I396" s="46"/>
      <c r="J396" s="48">
        <f>SmtRes!CZ76</f>
        <v>17.78</v>
      </c>
      <c r="K396" s="42"/>
      <c r="L396" s="48">
        <f>SmtRes!DG76</f>
        <v>1.92</v>
      </c>
    </row>
    <row r="397" spans="1:83" ht="15">
      <c r="A397" s="41"/>
      <c r="B397" s="45">
        <v>4</v>
      </c>
      <c r="C397" s="41" t="s">
        <v>488</v>
      </c>
      <c r="D397" s="43"/>
      <c r="E397" s="47"/>
      <c r="F397" s="45"/>
      <c r="G397" s="47"/>
      <c r="H397" s="45"/>
      <c r="I397" s="45"/>
      <c r="J397" s="45"/>
      <c r="K397" s="45"/>
      <c r="L397" s="49">
        <f>SUM(L398:L409)-SUMIF(CE398:CE409, 1, L398:L409)</f>
        <v>251.37</v>
      </c>
    </row>
    <row r="398" spans="1:83" ht="14.25">
      <c r="A398" s="42"/>
      <c r="B398" s="42" t="s">
        <v>382</v>
      </c>
      <c r="C398" s="42" t="s">
        <v>384</v>
      </c>
      <c r="D398" s="43" t="s">
        <v>344</v>
      </c>
      <c r="E398" s="47">
        <v>6.0000000000000001E-3</v>
      </c>
      <c r="F398" s="41"/>
      <c r="G398" s="47">
        <f>SmtRes!CX77</f>
        <v>6.0000000000000001E-3</v>
      </c>
      <c r="H398" s="48">
        <f>SmtRes!CZ77</f>
        <v>150.04</v>
      </c>
      <c r="I398" s="46">
        <f>SmtRes!AI77</f>
        <v>1.5</v>
      </c>
      <c r="J398" s="48">
        <f>ROUND(H398*I398, 2)</f>
        <v>225.06</v>
      </c>
      <c r="K398" s="42"/>
      <c r="L398" s="48">
        <f>SmtRes!DF77</f>
        <v>1.35</v>
      </c>
    </row>
    <row r="399" spans="1:83" ht="14.25">
      <c r="A399" s="42"/>
      <c r="B399" s="42" t="s">
        <v>385</v>
      </c>
      <c r="C399" s="42" t="s">
        <v>387</v>
      </c>
      <c r="D399" s="43" t="s">
        <v>344</v>
      </c>
      <c r="E399" s="47">
        <v>1E-3</v>
      </c>
      <c r="F399" s="41"/>
      <c r="G399" s="47">
        <f>SmtRes!CX78</f>
        <v>1E-3</v>
      </c>
      <c r="H399" s="48">
        <f>SmtRes!CZ78</f>
        <v>187.38</v>
      </c>
      <c r="I399" s="46">
        <f>SmtRes!AI78</f>
        <v>0.91</v>
      </c>
      <c r="J399" s="48">
        <f>ROUND(H399*I399, 2)</f>
        <v>170.52</v>
      </c>
      <c r="K399" s="42"/>
      <c r="L399" s="48">
        <f>SmtRes!DF78</f>
        <v>0.17</v>
      </c>
    </row>
    <row r="400" spans="1:83" ht="14.25">
      <c r="A400" s="42"/>
      <c r="B400" s="42" t="s">
        <v>388</v>
      </c>
      <c r="C400" s="42" t="s">
        <v>390</v>
      </c>
      <c r="D400" s="43" t="s">
        <v>391</v>
      </c>
      <c r="E400" s="47">
        <v>2.0799999999999999E-2</v>
      </c>
      <c r="F400" s="41"/>
      <c r="G400" s="47">
        <f>SmtRes!CX79</f>
        <v>2.0799999999999999E-2</v>
      </c>
      <c r="H400" s="48"/>
      <c r="I400" s="46"/>
      <c r="J400" s="48">
        <f>SmtRes!CZ79</f>
        <v>6.45</v>
      </c>
      <c r="K400" s="42"/>
      <c r="L400" s="48">
        <f>SmtRes!DF79</f>
        <v>0.13</v>
      </c>
    </row>
    <row r="401" spans="1:82" ht="71.25">
      <c r="A401" s="42"/>
      <c r="B401" s="42" t="s">
        <v>392</v>
      </c>
      <c r="C401" s="42" t="s">
        <v>394</v>
      </c>
      <c r="D401" s="43" t="s">
        <v>135</v>
      </c>
      <c r="E401" s="47">
        <v>1</v>
      </c>
      <c r="F401" s="41"/>
      <c r="G401" s="47">
        <f>SmtRes!CX80</f>
        <v>1</v>
      </c>
      <c r="H401" s="48">
        <f>SmtRes!CZ80</f>
        <v>5.87</v>
      </c>
      <c r="I401" s="46">
        <f>SmtRes!AI80</f>
        <v>1.1299999999999999</v>
      </c>
      <c r="J401" s="48">
        <f t="shared" ref="J401:J409" si="2">ROUND(H401*I401, 2)</f>
        <v>6.63</v>
      </c>
      <c r="K401" s="42"/>
      <c r="L401" s="48">
        <f>SmtRes!DF80</f>
        <v>6.63</v>
      </c>
    </row>
    <row r="402" spans="1:82" ht="57">
      <c r="A402" s="42"/>
      <c r="B402" s="42" t="s">
        <v>341</v>
      </c>
      <c r="C402" s="42" t="s">
        <v>343</v>
      </c>
      <c r="D402" s="43" t="s">
        <v>344</v>
      </c>
      <c r="E402" s="47">
        <v>7.0000000000000007E-2</v>
      </c>
      <c r="F402" s="41"/>
      <c r="G402" s="47">
        <f>SmtRes!CX81</f>
        <v>7.0000000000000007E-2</v>
      </c>
      <c r="H402" s="48">
        <f>SmtRes!CZ81</f>
        <v>155.63</v>
      </c>
      <c r="I402" s="46">
        <f>SmtRes!AI81</f>
        <v>1.03</v>
      </c>
      <c r="J402" s="48">
        <f t="shared" si="2"/>
        <v>160.30000000000001</v>
      </c>
      <c r="K402" s="42"/>
      <c r="L402" s="48">
        <f>SmtRes!DF81</f>
        <v>11.22</v>
      </c>
    </row>
    <row r="403" spans="1:82" ht="28.5">
      <c r="A403" s="42"/>
      <c r="B403" s="42" t="s">
        <v>345</v>
      </c>
      <c r="C403" s="42" t="s">
        <v>347</v>
      </c>
      <c r="D403" s="43" t="s">
        <v>344</v>
      </c>
      <c r="E403" s="47">
        <v>4.9000000000000002E-2</v>
      </c>
      <c r="F403" s="41"/>
      <c r="G403" s="47">
        <f>SmtRes!CX82</f>
        <v>4.9000000000000002E-2</v>
      </c>
      <c r="H403" s="48">
        <f>SmtRes!CZ82</f>
        <v>174.93</v>
      </c>
      <c r="I403" s="46">
        <f>SmtRes!AI82</f>
        <v>1.1100000000000001</v>
      </c>
      <c r="J403" s="48">
        <f t="shared" si="2"/>
        <v>194.17</v>
      </c>
      <c r="K403" s="42"/>
      <c r="L403" s="48">
        <f>SmtRes!DF82</f>
        <v>9.51</v>
      </c>
    </row>
    <row r="404" spans="1:82" ht="14.25">
      <c r="A404" s="42"/>
      <c r="B404" s="42" t="s">
        <v>395</v>
      </c>
      <c r="C404" s="42" t="s">
        <v>397</v>
      </c>
      <c r="D404" s="43" t="s">
        <v>44</v>
      </c>
      <c r="E404" s="47">
        <v>1.4E-2</v>
      </c>
      <c r="F404" s="41"/>
      <c r="G404" s="47">
        <f>SmtRes!CX83</f>
        <v>1.4E-2</v>
      </c>
      <c r="H404" s="48">
        <f>SmtRes!CZ83</f>
        <v>41.71</v>
      </c>
      <c r="I404" s="46">
        <f>SmtRes!AI83</f>
        <v>1.1599999999999999</v>
      </c>
      <c r="J404" s="48">
        <f t="shared" si="2"/>
        <v>48.38</v>
      </c>
      <c r="K404" s="42"/>
      <c r="L404" s="48">
        <f>SmtRes!DF83</f>
        <v>0.68</v>
      </c>
    </row>
    <row r="405" spans="1:82" ht="14.25">
      <c r="A405" s="42"/>
      <c r="B405" s="42" t="s">
        <v>398</v>
      </c>
      <c r="C405" s="42" t="s">
        <v>400</v>
      </c>
      <c r="D405" s="43" t="s">
        <v>344</v>
      </c>
      <c r="E405" s="47">
        <v>1E-3</v>
      </c>
      <c r="F405" s="41"/>
      <c r="G405" s="47">
        <f>SmtRes!CX84</f>
        <v>1E-3</v>
      </c>
      <c r="H405" s="48">
        <f>SmtRes!CZ84</f>
        <v>395.65</v>
      </c>
      <c r="I405" s="46">
        <f>SmtRes!AI84</f>
        <v>1.91</v>
      </c>
      <c r="J405" s="48">
        <f t="shared" si="2"/>
        <v>755.69</v>
      </c>
      <c r="K405" s="42"/>
      <c r="L405" s="48">
        <f>SmtRes!DF84</f>
        <v>0.76</v>
      </c>
    </row>
    <row r="406" spans="1:82" ht="42.75">
      <c r="A406" s="42"/>
      <c r="B406" s="42" t="s">
        <v>358</v>
      </c>
      <c r="C406" s="42" t="s">
        <v>360</v>
      </c>
      <c r="D406" s="43" t="s">
        <v>37</v>
      </c>
      <c r="E406" s="47">
        <v>1E-3</v>
      </c>
      <c r="F406" s="41"/>
      <c r="G406" s="47">
        <f>SmtRes!CX85</f>
        <v>1E-3</v>
      </c>
      <c r="H406" s="48">
        <f>SmtRes!CZ85</f>
        <v>105278.81</v>
      </c>
      <c r="I406" s="46">
        <f>SmtRes!AI85</f>
        <v>1.1100000000000001</v>
      </c>
      <c r="J406" s="48">
        <f t="shared" si="2"/>
        <v>116859.48</v>
      </c>
      <c r="K406" s="42"/>
      <c r="L406" s="48">
        <f>SmtRes!DF85</f>
        <v>116.86</v>
      </c>
    </row>
    <row r="407" spans="1:82" ht="28.5">
      <c r="A407" s="42"/>
      <c r="B407" s="42" t="s">
        <v>363</v>
      </c>
      <c r="C407" s="42" t="s">
        <v>365</v>
      </c>
      <c r="D407" s="43" t="s">
        <v>344</v>
      </c>
      <c r="E407" s="47">
        <v>3.5999999999999997E-2</v>
      </c>
      <c r="F407" s="41"/>
      <c r="G407" s="47">
        <f>SmtRes!CX86</f>
        <v>3.5999999999999997E-2</v>
      </c>
      <c r="H407" s="48">
        <f>SmtRes!CZ86</f>
        <v>79.88</v>
      </c>
      <c r="I407" s="46">
        <f>SmtRes!AI86</f>
        <v>1.37</v>
      </c>
      <c r="J407" s="48">
        <f t="shared" si="2"/>
        <v>109.44</v>
      </c>
      <c r="K407" s="42"/>
      <c r="L407" s="48">
        <f>SmtRes!DF86</f>
        <v>3.94</v>
      </c>
    </row>
    <row r="408" spans="1:82" ht="14.25">
      <c r="A408" s="42"/>
      <c r="B408" s="42" t="s">
        <v>401</v>
      </c>
      <c r="C408" s="42" t="s">
        <v>403</v>
      </c>
      <c r="D408" s="43" t="s">
        <v>344</v>
      </c>
      <c r="E408" s="47">
        <v>6.0000000000000001E-3</v>
      </c>
      <c r="F408" s="41"/>
      <c r="G408" s="47">
        <f>SmtRes!CX87</f>
        <v>6.0000000000000001E-3</v>
      </c>
      <c r="H408" s="48">
        <f>SmtRes!CZ87</f>
        <v>135.32</v>
      </c>
      <c r="I408" s="46">
        <f>SmtRes!AI87</f>
        <v>1.1499999999999999</v>
      </c>
      <c r="J408" s="48">
        <f t="shared" si="2"/>
        <v>155.62</v>
      </c>
      <c r="K408" s="42"/>
      <c r="L408" s="48">
        <f>SmtRes!DF87</f>
        <v>0.93</v>
      </c>
    </row>
    <row r="409" spans="1:82" ht="14.25">
      <c r="A409" s="42"/>
      <c r="B409" s="42" t="s">
        <v>375</v>
      </c>
      <c r="C409" s="50" t="s">
        <v>377</v>
      </c>
      <c r="D409" s="51" t="s">
        <v>378</v>
      </c>
      <c r="E409" s="52">
        <v>0.1</v>
      </c>
      <c r="F409" s="53"/>
      <c r="G409" s="52">
        <f>SmtRes!CX88</f>
        <v>0.1</v>
      </c>
      <c r="H409" s="54">
        <f>SmtRes!CZ88</f>
        <v>944.69</v>
      </c>
      <c r="I409" s="55">
        <f>SmtRes!AI88</f>
        <v>1.05</v>
      </c>
      <c r="J409" s="54">
        <f t="shared" si="2"/>
        <v>991.92</v>
      </c>
      <c r="K409" s="50"/>
      <c r="L409" s="54">
        <f>SmtRes!DF88</f>
        <v>99.19</v>
      </c>
    </row>
    <row r="410" spans="1:82" ht="15">
      <c r="A410" s="42"/>
      <c r="B410" s="42"/>
      <c r="C410" s="58" t="s">
        <v>489</v>
      </c>
      <c r="D410" s="43"/>
      <c r="E410" s="47"/>
      <c r="F410" s="41"/>
      <c r="G410" s="47"/>
      <c r="H410" s="48"/>
      <c r="I410" s="46"/>
      <c r="J410" s="48"/>
      <c r="K410" s="42"/>
      <c r="L410" s="48">
        <f>L392+L394+L395+L397</f>
        <v>654.91000000000008</v>
      </c>
    </row>
    <row r="411" spans="1:82" ht="57">
      <c r="A411" s="40" t="s">
        <v>546</v>
      </c>
      <c r="B411" s="42" t="str">
        <f>Source!F248</f>
        <v>421/пр_2020_п.75_пп.а</v>
      </c>
      <c r="C411" s="42" t="str">
        <f>Source!G248</f>
        <v>Сметная стоимость вспомогательных ненормируемых материальных ресурсов, не учтенная в сметной норме, 2%</v>
      </c>
      <c r="D411" s="43" t="str">
        <f>Source!H248</f>
        <v>%</v>
      </c>
      <c r="E411" s="47">
        <f>SmtRes!AT89</f>
        <v>2</v>
      </c>
      <c r="F411" s="41"/>
      <c r="G411" s="47">
        <f>Source!I248</f>
        <v>2</v>
      </c>
      <c r="H411" s="48"/>
      <c r="I411" s="46"/>
      <c r="J411" s="48"/>
      <c r="K411" s="42"/>
      <c r="L411" s="48">
        <f>Source!P248</f>
        <v>8.0299999999999994</v>
      </c>
      <c r="AD411">
        <f>ROUND((Source!AT248/100)*((ROUND(0*Source!I248, 2)+ROUND(0*Source!I248, 2))), 2)</f>
        <v>0</v>
      </c>
      <c r="AE411">
        <f>ROUND((Source!AU248/100)*((ROUND(0*Source!I248, 2)+ROUND(0*Source!I248, 2))), 2)</f>
        <v>0</v>
      </c>
      <c r="AN411">
        <f>L411</f>
        <v>8.0299999999999994</v>
      </c>
      <c r="AW411">
        <f>L411</f>
        <v>8.0299999999999994</v>
      </c>
      <c r="AZ411">
        <f>Source!X248</f>
        <v>0</v>
      </c>
      <c r="BA411">
        <f>Source!Y248</f>
        <v>0</v>
      </c>
      <c r="CD411">
        <v>4</v>
      </c>
    </row>
    <row r="412" spans="1:82" ht="14.25">
      <c r="A412" s="42"/>
      <c r="B412" s="42"/>
      <c r="C412" s="42" t="s">
        <v>491</v>
      </c>
      <c r="D412" s="43"/>
      <c r="E412" s="47"/>
      <c r="F412" s="41"/>
      <c r="G412" s="47"/>
      <c r="H412" s="48"/>
      <c r="I412" s="46"/>
      <c r="J412" s="48"/>
      <c r="K412" s="42"/>
      <c r="L412" s="48">
        <f>SUM(AR391:AR415)+SUM(AS391:AS415)+SUM(AT391:AT415)+SUM(AU391:AU415)+SUM(AV391:AV415)</f>
        <v>401.62</v>
      </c>
    </row>
    <row r="413" spans="1:82" ht="28.5">
      <c r="A413" s="42"/>
      <c r="B413" s="42" t="s">
        <v>25</v>
      </c>
      <c r="C413" s="42" t="s">
        <v>492</v>
      </c>
      <c r="D413" s="43" t="s">
        <v>30</v>
      </c>
      <c r="E413" s="47">
        <f>Source!BZ247</f>
        <v>97</v>
      </c>
      <c r="F413" s="41"/>
      <c r="G413" s="47">
        <f>Source!AT247</f>
        <v>97</v>
      </c>
      <c r="H413" s="48"/>
      <c r="I413" s="46"/>
      <c r="J413" s="48"/>
      <c r="K413" s="42"/>
      <c r="L413" s="48">
        <f>SUM(AZ391:AZ415)</f>
        <v>389.57</v>
      </c>
    </row>
    <row r="414" spans="1:82" ht="28.5">
      <c r="A414" s="50"/>
      <c r="B414" s="50" t="s">
        <v>26</v>
      </c>
      <c r="C414" s="50" t="s">
        <v>493</v>
      </c>
      <c r="D414" s="51" t="s">
        <v>30</v>
      </c>
      <c r="E414" s="52">
        <f>Source!CA247</f>
        <v>51</v>
      </c>
      <c r="F414" s="53"/>
      <c r="G414" s="52">
        <f>Source!AU247</f>
        <v>51</v>
      </c>
      <c r="H414" s="54"/>
      <c r="I414" s="55"/>
      <c r="J414" s="54"/>
      <c r="K414" s="50"/>
      <c r="L414" s="54">
        <f>SUM(BA391:BA415)</f>
        <v>204.83</v>
      </c>
    </row>
    <row r="415" spans="1:82" ht="15">
      <c r="C415" s="111" t="s">
        <v>494</v>
      </c>
      <c r="D415" s="111"/>
      <c r="E415" s="111"/>
      <c r="F415" s="111"/>
      <c r="G415" s="111"/>
      <c r="H415" s="111"/>
      <c r="I415" s="112">
        <f>K415/E391</f>
        <v>1257.3399999999999</v>
      </c>
      <c r="J415" s="112"/>
      <c r="K415" s="112">
        <f>L392+L394+L397+L413+L414+L395+SUM(L411:L411)</f>
        <v>1257.3399999999999</v>
      </c>
      <c r="L415" s="112"/>
      <c r="AD415">
        <f>ROUND((Source!AT247/100)*((ROUND(SUMIF(SmtRes!AQ75:'SmtRes'!AQ89,"=1",SmtRes!AD75:'SmtRes'!AD89)*Source!I247, 2)+ROUND(SUMIF(SmtRes!AQ75:'SmtRes'!AQ89,"=1",SmtRes!AC75:'SmtRes'!AC89)*Source!I247, 2))), 2)</f>
        <v>290.73</v>
      </c>
      <c r="AE415">
        <f>ROUND((Source!AU247/100)*((ROUND(SUMIF(SmtRes!AQ75:'SmtRes'!AQ89,"=1",SmtRes!AD75:'SmtRes'!AD89)*Source!I247, 2)+ROUND(SUMIF(SmtRes!AQ75:'SmtRes'!AQ89,"=1",SmtRes!AC75:'SmtRes'!AC89)*Source!I247, 2))), 2)</f>
        <v>152.86000000000001</v>
      </c>
      <c r="AN415" s="56">
        <f>L392+L394+L397+L413+L414+L395</f>
        <v>1249.31</v>
      </c>
      <c r="AO415" s="56">
        <f>L394</f>
        <v>1.92</v>
      </c>
      <c r="AQ415" t="s">
        <v>495</v>
      </c>
      <c r="AR415" s="56">
        <f>L392</f>
        <v>401.62</v>
      </c>
      <c r="AT415" s="56">
        <f>L395</f>
        <v>0</v>
      </c>
      <c r="AV415" t="s">
        <v>495</v>
      </c>
      <c r="AW415" s="56">
        <f>L397</f>
        <v>251.37</v>
      </c>
      <c r="AZ415">
        <f>Source!X247</f>
        <v>389.57</v>
      </c>
      <c r="BA415">
        <f>Source!Y247</f>
        <v>204.83</v>
      </c>
      <c r="CD415">
        <v>2</v>
      </c>
    </row>
    <row r="416" spans="1:82" ht="57">
      <c r="A416" s="40" t="s">
        <v>191</v>
      </c>
      <c r="B416" s="42" t="s">
        <v>547</v>
      </c>
      <c r="C416" s="42" t="str">
        <f>Source!G249</f>
        <v>Труба гофрированная ПВХ для защиты проводов и кабелей по установленным конструкциям, по стенам, колоннам, потолкам, основанию пола</v>
      </c>
      <c r="D416" s="43" t="str">
        <f>Source!H249</f>
        <v>100 м</v>
      </c>
      <c r="E416" s="47">
        <f>Source!K249</f>
        <v>0.25</v>
      </c>
      <c r="F416" s="41"/>
      <c r="G416" s="47">
        <f>Source!I249</f>
        <v>0.25</v>
      </c>
      <c r="H416" s="48"/>
      <c r="I416" s="46"/>
      <c r="J416" s="48"/>
      <c r="K416" s="42"/>
      <c r="L416" s="48"/>
    </row>
    <row r="417" spans="1:82">
      <c r="C417" s="60" t="str">
        <f>"Объем: "&amp;Source!I249&amp;"=25/"&amp;"100"</f>
        <v>Объем: 0,25=25/100</v>
      </c>
    </row>
    <row r="418" spans="1:82" ht="15">
      <c r="A418" s="41"/>
      <c r="B418" s="45">
        <v>1</v>
      </c>
      <c r="C418" s="41" t="s">
        <v>483</v>
      </c>
      <c r="D418" s="43" t="s">
        <v>321</v>
      </c>
      <c r="E418" s="47"/>
      <c r="F418" s="45"/>
      <c r="G418" s="47">
        <f>Source!U249</f>
        <v>3.8</v>
      </c>
      <c r="H418" s="45"/>
      <c r="I418" s="45"/>
      <c r="J418" s="45"/>
      <c r="K418" s="45"/>
      <c r="L418" s="49">
        <f>SUM(L419:L419)-SUMIF(CE419:CE419, 1, L419:L419)</f>
        <v>1100.25</v>
      </c>
    </row>
    <row r="419" spans="1:82" ht="28.5">
      <c r="A419" s="42"/>
      <c r="B419" s="42" t="s">
        <v>406</v>
      </c>
      <c r="C419" s="42" t="s">
        <v>407</v>
      </c>
      <c r="D419" s="43" t="s">
        <v>321</v>
      </c>
      <c r="E419" s="47">
        <v>15.2</v>
      </c>
      <c r="F419" s="41"/>
      <c r="G419" s="47">
        <f>SmtRes!CX90</f>
        <v>3.8</v>
      </c>
      <c r="H419" s="48"/>
      <c r="I419" s="46"/>
      <c r="J419" s="48">
        <f>SmtRes!CZ90</f>
        <v>289.54000000000002</v>
      </c>
      <c r="K419" s="42"/>
      <c r="L419" s="48">
        <f>SmtRes!DI90</f>
        <v>1100.25</v>
      </c>
    </row>
    <row r="420" spans="1:82" ht="15">
      <c r="A420" s="41"/>
      <c r="B420" s="45">
        <v>4</v>
      </c>
      <c r="C420" s="41" t="s">
        <v>488</v>
      </c>
      <c r="D420" s="43"/>
      <c r="E420" s="47"/>
      <c r="F420" s="45"/>
      <c r="G420" s="47"/>
      <c r="H420" s="45"/>
      <c r="I420" s="45"/>
      <c r="J420" s="45"/>
      <c r="K420" s="45"/>
      <c r="L420" s="49">
        <f>SUM(L421:L422)-SUMIF(CE421:CE422, 1, L421:L422)</f>
        <v>35.17</v>
      </c>
    </row>
    <row r="421" spans="1:82" ht="14.25">
      <c r="A421" s="42"/>
      <c r="B421" s="42" t="s">
        <v>388</v>
      </c>
      <c r="C421" s="42" t="s">
        <v>390</v>
      </c>
      <c r="D421" s="43" t="s">
        <v>391</v>
      </c>
      <c r="E421" s="47">
        <v>5.3376000000000001</v>
      </c>
      <c r="F421" s="41"/>
      <c r="G421" s="47">
        <f>SmtRes!CX91</f>
        <v>1.3344</v>
      </c>
      <c r="H421" s="48"/>
      <c r="I421" s="46"/>
      <c r="J421" s="48">
        <f>SmtRes!CZ91</f>
        <v>6.45</v>
      </c>
      <c r="K421" s="42"/>
      <c r="L421" s="48">
        <f>SmtRes!DF91</f>
        <v>8.61</v>
      </c>
    </row>
    <row r="422" spans="1:82" ht="42.75">
      <c r="A422" s="42"/>
      <c r="B422" s="42" t="s">
        <v>408</v>
      </c>
      <c r="C422" s="50" t="s">
        <v>410</v>
      </c>
      <c r="D422" s="51" t="s">
        <v>44</v>
      </c>
      <c r="E422" s="52">
        <v>1.75</v>
      </c>
      <c r="F422" s="53"/>
      <c r="G422" s="52">
        <f>SmtRes!CX92</f>
        <v>0.4375</v>
      </c>
      <c r="H422" s="54">
        <f>SmtRes!CZ92</f>
        <v>52.34</v>
      </c>
      <c r="I422" s="55">
        <f>SmtRes!AI92</f>
        <v>1.1599999999999999</v>
      </c>
      <c r="J422" s="54">
        <f>ROUND(H422*I422, 2)</f>
        <v>60.71</v>
      </c>
      <c r="K422" s="50"/>
      <c r="L422" s="54">
        <f>SmtRes!DF92</f>
        <v>26.56</v>
      </c>
    </row>
    <row r="423" spans="1:82" ht="15">
      <c r="A423" s="42"/>
      <c r="B423" s="42"/>
      <c r="C423" s="58" t="s">
        <v>489</v>
      </c>
      <c r="D423" s="43"/>
      <c r="E423" s="47"/>
      <c r="F423" s="41"/>
      <c r="G423" s="47"/>
      <c r="H423" s="48"/>
      <c r="I423" s="46"/>
      <c r="J423" s="48"/>
      <c r="K423" s="42"/>
      <c r="L423" s="48">
        <f>L418+L420</f>
        <v>1135.42</v>
      </c>
    </row>
    <row r="424" spans="1:82" ht="57">
      <c r="A424" s="40" t="s">
        <v>548</v>
      </c>
      <c r="B424" s="42" t="str">
        <f>Source!F250</f>
        <v>421/пр_2020_п.75_пп.а</v>
      </c>
      <c r="C424" s="42" t="str">
        <f>Source!G250</f>
        <v>Сметная стоимость вспомогательных ненормируемых материальных ресурсов, не учтенная в сметной норме, 2%</v>
      </c>
      <c r="D424" s="43" t="str">
        <f>Source!H250</f>
        <v>%</v>
      </c>
      <c r="E424" s="47">
        <f>SmtRes!AT93</f>
        <v>2</v>
      </c>
      <c r="F424" s="41"/>
      <c r="G424" s="47">
        <f>Source!I250</f>
        <v>2</v>
      </c>
      <c r="H424" s="48"/>
      <c r="I424" s="46"/>
      <c r="J424" s="48"/>
      <c r="K424" s="42"/>
      <c r="L424" s="48">
        <f>Source!P250</f>
        <v>22.01</v>
      </c>
      <c r="AD424">
        <f>ROUND((Source!AT250/100)*((ROUND(0*Source!I250, 2)+ROUND(0*Source!I250, 2))), 2)</f>
        <v>0</v>
      </c>
      <c r="AE424">
        <f>ROUND((Source!AU250/100)*((ROUND(0*Source!I250, 2)+ROUND(0*Source!I250, 2))), 2)</f>
        <v>0</v>
      </c>
      <c r="AN424">
        <f>L424</f>
        <v>22.01</v>
      </c>
      <c r="AW424">
        <f>L424</f>
        <v>22.01</v>
      </c>
      <c r="AZ424">
        <f>Source!X250</f>
        <v>0</v>
      </c>
      <c r="BA424">
        <f>Source!Y250</f>
        <v>0</v>
      </c>
      <c r="CD424">
        <v>4</v>
      </c>
    </row>
    <row r="425" spans="1:82" ht="14.25">
      <c r="A425" s="42"/>
      <c r="B425" s="42"/>
      <c r="C425" s="42" t="s">
        <v>491</v>
      </c>
      <c r="D425" s="43"/>
      <c r="E425" s="47"/>
      <c r="F425" s="41"/>
      <c r="G425" s="47"/>
      <c r="H425" s="48"/>
      <c r="I425" s="46"/>
      <c r="J425" s="48"/>
      <c r="K425" s="42"/>
      <c r="L425" s="48">
        <f>SUM(AR416:AR428)+SUM(AS416:AS428)+SUM(AT416:AT428)+SUM(AU416:AU428)+SUM(AV416:AV428)</f>
        <v>1100.25</v>
      </c>
    </row>
    <row r="426" spans="1:82" ht="28.5">
      <c r="A426" s="42"/>
      <c r="B426" s="42" t="s">
        <v>25</v>
      </c>
      <c r="C426" s="42" t="s">
        <v>492</v>
      </c>
      <c r="D426" s="43" t="s">
        <v>30</v>
      </c>
      <c r="E426" s="47">
        <f>Source!BZ249</f>
        <v>97</v>
      </c>
      <c r="F426" s="41"/>
      <c r="G426" s="47">
        <f>Source!AT249</f>
        <v>97</v>
      </c>
      <c r="H426" s="48"/>
      <c r="I426" s="46"/>
      <c r="J426" s="48"/>
      <c r="K426" s="42"/>
      <c r="L426" s="48">
        <f>SUM(AZ416:AZ428)</f>
        <v>1067.24</v>
      </c>
    </row>
    <row r="427" spans="1:82" ht="28.5">
      <c r="A427" s="50"/>
      <c r="B427" s="50" t="s">
        <v>26</v>
      </c>
      <c r="C427" s="50" t="s">
        <v>493</v>
      </c>
      <c r="D427" s="51" t="s">
        <v>30</v>
      </c>
      <c r="E427" s="52">
        <f>Source!CA249</f>
        <v>51</v>
      </c>
      <c r="F427" s="53"/>
      <c r="G427" s="52">
        <f>Source!AU249</f>
        <v>51</v>
      </c>
      <c r="H427" s="54"/>
      <c r="I427" s="55"/>
      <c r="J427" s="54"/>
      <c r="K427" s="50"/>
      <c r="L427" s="54">
        <f>SUM(BA416:BA428)</f>
        <v>561.13</v>
      </c>
    </row>
    <row r="428" spans="1:82" ht="15">
      <c r="C428" s="111" t="s">
        <v>494</v>
      </c>
      <c r="D428" s="111"/>
      <c r="E428" s="111"/>
      <c r="F428" s="111"/>
      <c r="G428" s="111"/>
      <c r="H428" s="111"/>
      <c r="I428" s="112">
        <f>K428/E416</f>
        <v>11143.2</v>
      </c>
      <c r="J428" s="112"/>
      <c r="K428" s="112">
        <f>L418+L420+L426+L427+SUM(L424:L424)</f>
        <v>2785.8</v>
      </c>
      <c r="L428" s="112"/>
      <c r="AD428">
        <f>ROUND((Source!AT249/100)*((ROUND(SUMIF(SmtRes!AQ90:'SmtRes'!AQ93,"=1",SmtRes!AD90:'SmtRes'!AD93)*Source!I249, 2)+ROUND(SUMIF(SmtRes!AQ90:'SmtRes'!AQ93,"=1",SmtRes!AC90:'SmtRes'!AC93)*Source!I249, 2))), 2)</f>
        <v>70.22</v>
      </c>
      <c r="AE428">
        <f>ROUND((Source!AU249/100)*((ROUND(SUMIF(SmtRes!AQ90:'SmtRes'!AQ93,"=1",SmtRes!AD90:'SmtRes'!AD93)*Source!I249, 2)+ROUND(SUMIF(SmtRes!AQ90:'SmtRes'!AQ93,"=1",SmtRes!AC90:'SmtRes'!AC93)*Source!I249, 2))), 2)</f>
        <v>36.92</v>
      </c>
      <c r="AN428" s="56">
        <f>L418+L420+L426+L427</f>
        <v>2763.79</v>
      </c>
      <c r="AO428">
        <f>0</f>
        <v>0</v>
      </c>
      <c r="AQ428" t="s">
        <v>495</v>
      </c>
      <c r="AR428" s="56">
        <f>L418</f>
        <v>1100.25</v>
      </c>
      <c r="AT428">
        <f>0</f>
        <v>0</v>
      </c>
      <c r="AV428" t="s">
        <v>495</v>
      </c>
      <c r="AW428" s="56">
        <f>L420</f>
        <v>35.17</v>
      </c>
      <c r="AZ428">
        <f>Source!X249</f>
        <v>1067.24</v>
      </c>
      <c r="BA428">
        <f>Source!Y249</f>
        <v>561.13</v>
      </c>
      <c r="CD428">
        <v>2</v>
      </c>
    </row>
    <row r="429" spans="1:82" ht="42.75">
      <c r="A429" s="40" t="s">
        <v>197</v>
      </c>
      <c r="B429" s="42" t="s">
        <v>549</v>
      </c>
      <c r="C429" s="42" t="str">
        <f>Source!G251</f>
        <v>Кабель до 35 кВ в проложенных трубах, блоках и коробах, масса 1 м кабеля: до 1 кг</v>
      </c>
      <c r="D429" s="43" t="str">
        <f>Source!H251</f>
        <v>100 м</v>
      </c>
      <c r="E429" s="47">
        <f>Source!K251</f>
        <v>0.25</v>
      </c>
      <c r="F429" s="41"/>
      <c r="G429" s="47">
        <f>Source!I251</f>
        <v>0.25</v>
      </c>
      <c r="H429" s="48"/>
      <c r="I429" s="46"/>
      <c r="J429" s="48"/>
      <c r="K429" s="42"/>
      <c r="L429" s="48"/>
    </row>
    <row r="430" spans="1:82">
      <c r="C430" s="60" t="str">
        <f>"Объем: "&amp;Source!I251&amp;"=25/"&amp;"100"</f>
        <v>Объем: 0,25=25/100</v>
      </c>
    </row>
    <row r="431" spans="1:82" ht="15">
      <c r="A431" s="41"/>
      <c r="B431" s="45">
        <v>1</v>
      </c>
      <c r="C431" s="41" t="s">
        <v>483</v>
      </c>
      <c r="D431" s="43" t="s">
        <v>321</v>
      </c>
      <c r="E431" s="47"/>
      <c r="F431" s="45"/>
      <c r="G431" s="47">
        <f>Source!U251</f>
        <v>2.48</v>
      </c>
      <c r="H431" s="45"/>
      <c r="I431" s="45"/>
      <c r="J431" s="45"/>
      <c r="K431" s="45"/>
      <c r="L431" s="49">
        <f>SUM(L432:L432)-SUMIF(CE432:CE432, 1, L432:L432)</f>
        <v>734.87</v>
      </c>
    </row>
    <row r="432" spans="1:82" ht="28.5">
      <c r="A432" s="42"/>
      <c r="B432" s="42" t="s">
        <v>361</v>
      </c>
      <c r="C432" s="42" t="s">
        <v>362</v>
      </c>
      <c r="D432" s="43" t="s">
        <v>321</v>
      </c>
      <c r="E432" s="47">
        <v>9.92</v>
      </c>
      <c r="F432" s="41"/>
      <c r="G432" s="47">
        <f>SmtRes!CX94</f>
        <v>2.48</v>
      </c>
      <c r="H432" s="48"/>
      <c r="I432" s="46"/>
      <c r="J432" s="48">
        <f>SmtRes!CZ94</f>
        <v>296.32</v>
      </c>
      <c r="K432" s="42"/>
      <c r="L432" s="48">
        <f>SmtRes!DI94</f>
        <v>734.87</v>
      </c>
    </row>
    <row r="433" spans="1:83" ht="15">
      <c r="A433" s="41"/>
      <c r="B433" s="45">
        <v>2</v>
      </c>
      <c r="C433" s="41" t="s">
        <v>484</v>
      </c>
      <c r="D433" s="43"/>
      <c r="E433" s="47"/>
      <c r="F433" s="45"/>
      <c r="G433" s="47"/>
      <c r="H433" s="45"/>
      <c r="I433" s="45"/>
      <c r="J433" s="45"/>
      <c r="K433" s="45"/>
      <c r="L433" s="49">
        <f>SUM(L434:L440)-SUMIF(CE434:CE440, 1, L434:L440)</f>
        <v>108.32999999999998</v>
      </c>
    </row>
    <row r="434" spans="1:83" ht="15">
      <c r="A434" s="41"/>
      <c r="B434" s="45"/>
      <c r="C434" s="41" t="s">
        <v>487</v>
      </c>
      <c r="D434" s="43" t="s">
        <v>321</v>
      </c>
      <c r="E434" s="47"/>
      <c r="F434" s="45"/>
      <c r="G434" s="47">
        <f>Source!V251</f>
        <v>1.3</v>
      </c>
      <c r="H434" s="45"/>
      <c r="I434" s="45"/>
      <c r="J434" s="45"/>
      <c r="K434" s="45"/>
      <c r="L434" s="49">
        <f>SUMIF(CE435:CE440, 1, L435:L440)</f>
        <v>35.519999999999996</v>
      </c>
      <c r="CE434">
        <v>1</v>
      </c>
    </row>
    <row r="435" spans="1:83" ht="28.5">
      <c r="A435" s="42"/>
      <c r="B435" s="42" t="s">
        <v>324</v>
      </c>
      <c r="C435" s="42" t="s">
        <v>326</v>
      </c>
      <c r="D435" s="43" t="s">
        <v>327</v>
      </c>
      <c r="E435" s="47">
        <v>0.2</v>
      </c>
      <c r="F435" s="41"/>
      <c r="G435" s="47">
        <f>SmtRes!CX96</f>
        <v>0.05</v>
      </c>
      <c r="H435" s="48"/>
      <c r="I435" s="46"/>
      <c r="J435" s="48">
        <f>SmtRes!CZ96</f>
        <v>1442.85</v>
      </c>
      <c r="K435" s="42"/>
      <c r="L435" s="48">
        <f>SmtRes!DG96</f>
        <v>72.14</v>
      </c>
    </row>
    <row r="436" spans="1:83" ht="28.5">
      <c r="A436" s="42"/>
      <c r="B436" s="42" t="s">
        <v>328</v>
      </c>
      <c r="C436" s="42" t="s">
        <v>485</v>
      </c>
      <c r="D436" s="43" t="s">
        <v>321</v>
      </c>
      <c r="E436" s="47">
        <f>SmtRes!DO96*SmtRes!AT96</f>
        <v>0.2</v>
      </c>
      <c r="F436" s="41"/>
      <c r="G436" s="47">
        <f>SmtRes!DO96*SmtRes!CX96</f>
        <v>0.05</v>
      </c>
      <c r="H436" s="48"/>
      <c r="I436" s="46"/>
      <c r="J436" s="48">
        <f>ROUND(SmtRes!AG96/SmtRes!DO96, 2)</f>
        <v>407.16</v>
      </c>
      <c r="K436" s="42"/>
      <c r="L436" s="48">
        <f>SmtRes!DH96</f>
        <v>20.36</v>
      </c>
      <c r="CE436">
        <v>1</v>
      </c>
    </row>
    <row r="437" spans="1:83" ht="28.5">
      <c r="A437" s="42"/>
      <c r="B437" s="42" t="s">
        <v>411</v>
      </c>
      <c r="C437" s="42" t="s">
        <v>413</v>
      </c>
      <c r="D437" s="43" t="s">
        <v>327</v>
      </c>
      <c r="E437" s="47">
        <v>2.4</v>
      </c>
      <c r="F437" s="41"/>
      <c r="G437" s="47">
        <f>SmtRes!CX97</f>
        <v>0.6</v>
      </c>
      <c r="H437" s="48">
        <f>SmtRes!CZ97</f>
        <v>1.75</v>
      </c>
      <c r="I437" s="46">
        <f>SmtRes!AJ97</f>
        <v>1.38</v>
      </c>
      <c r="J437" s="48">
        <f>ROUND(H437*I437, 2)</f>
        <v>2.42</v>
      </c>
      <c r="K437" s="42"/>
      <c r="L437" s="48">
        <f>SmtRes!DG97</f>
        <v>1.45</v>
      </c>
    </row>
    <row r="438" spans="1:83" ht="28.5">
      <c r="A438" s="42"/>
      <c r="B438" s="42" t="s">
        <v>414</v>
      </c>
      <c r="C438" s="42" t="s">
        <v>416</v>
      </c>
      <c r="D438" s="43" t="s">
        <v>327</v>
      </c>
      <c r="E438" s="47">
        <v>2.4</v>
      </c>
      <c r="F438" s="41"/>
      <c r="G438" s="47">
        <f>SmtRes!CX98</f>
        <v>0.6</v>
      </c>
      <c r="H438" s="48">
        <f>SmtRes!CZ98</f>
        <v>8.84</v>
      </c>
      <c r="I438" s="46">
        <f>SmtRes!AJ98</f>
        <v>1.29</v>
      </c>
      <c r="J438" s="48">
        <f>ROUND(H438*I438, 2)</f>
        <v>11.4</v>
      </c>
      <c r="K438" s="42"/>
      <c r="L438" s="48">
        <f>SmtRes!DG98</f>
        <v>6.84</v>
      </c>
    </row>
    <row r="439" spans="1:83" ht="28.5">
      <c r="A439" s="42"/>
      <c r="B439" s="42" t="s">
        <v>329</v>
      </c>
      <c r="C439" s="42" t="s">
        <v>331</v>
      </c>
      <c r="D439" s="43" t="s">
        <v>327</v>
      </c>
      <c r="E439" s="47">
        <v>0.2</v>
      </c>
      <c r="F439" s="41"/>
      <c r="G439" s="47">
        <f>SmtRes!CX99</f>
        <v>0.05</v>
      </c>
      <c r="H439" s="48"/>
      <c r="I439" s="46"/>
      <c r="J439" s="48">
        <f>SmtRes!CZ99</f>
        <v>557.94000000000005</v>
      </c>
      <c r="K439" s="42"/>
      <c r="L439" s="48">
        <f>SmtRes!DG99</f>
        <v>27.9</v>
      </c>
    </row>
    <row r="440" spans="1:83" ht="28.5">
      <c r="A440" s="42"/>
      <c r="B440" s="42" t="s">
        <v>332</v>
      </c>
      <c r="C440" s="42" t="s">
        <v>486</v>
      </c>
      <c r="D440" s="43" t="s">
        <v>321</v>
      </c>
      <c r="E440" s="47">
        <f>SmtRes!DO99*SmtRes!AT99</f>
        <v>0.2</v>
      </c>
      <c r="F440" s="41"/>
      <c r="G440" s="47">
        <f>SmtRes!DO99*SmtRes!CX99</f>
        <v>0.05</v>
      </c>
      <c r="H440" s="48"/>
      <c r="I440" s="46"/>
      <c r="J440" s="48">
        <f>ROUND(SmtRes!AG99/SmtRes!DO99, 2)</f>
        <v>303.11</v>
      </c>
      <c r="K440" s="42"/>
      <c r="L440" s="48">
        <f>SmtRes!DH99</f>
        <v>15.16</v>
      </c>
      <c r="CE440">
        <v>1</v>
      </c>
    </row>
    <row r="441" spans="1:83" ht="15">
      <c r="A441" s="41"/>
      <c r="B441" s="45">
        <v>4</v>
      </c>
      <c r="C441" s="41" t="s">
        <v>488</v>
      </c>
      <c r="D441" s="43"/>
      <c r="E441" s="47"/>
      <c r="F441" s="45"/>
      <c r="G441" s="47"/>
      <c r="H441" s="45"/>
      <c r="I441" s="45"/>
      <c r="J441" s="45"/>
      <c r="K441" s="45"/>
      <c r="L441" s="49">
        <f>SUM(L442:L444)-SUMIF(CE442:CE444, 1, L442:L444)</f>
        <v>104.03</v>
      </c>
    </row>
    <row r="442" spans="1:83" ht="57">
      <c r="A442" s="42"/>
      <c r="B442" s="42" t="s">
        <v>417</v>
      </c>
      <c r="C442" s="42" t="s">
        <v>419</v>
      </c>
      <c r="D442" s="43" t="s">
        <v>420</v>
      </c>
      <c r="E442" s="47">
        <v>9.6000000000000002E-2</v>
      </c>
      <c r="F442" s="41"/>
      <c r="G442" s="47">
        <f>SmtRes!CX100</f>
        <v>2.4E-2</v>
      </c>
      <c r="H442" s="48">
        <f>SmtRes!CZ100</f>
        <v>37.71</v>
      </c>
      <c r="I442" s="46">
        <f>SmtRes!AI100</f>
        <v>1.41</v>
      </c>
      <c r="J442" s="48">
        <f>ROUND(H442*I442, 2)</f>
        <v>53.17</v>
      </c>
      <c r="K442" s="42"/>
      <c r="L442" s="48">
        <f>SmtRes!DF100</f>
        <v>1.28</v>
      </c>
    </row>
    <row r="443" spans="1:83" ht="28.5">
      <c r="A443" s="42"/>
      <c r="B443" s="42" t="s">
        <v>421</v>
      </c>
      <c r="C443" s="42" t="s">
        <v>423</v>
      </c>
      <c r="D443" s="43" t="s">
        <v>344</v>
      </c>
      <c r="E443" s="47">
        <v>0.5</v>
      </c>
      <c r="F443" s="41"/>
      <c r="G443" s="47">
        <f>SmtRes!CX101</f>
        <v>0.125</v>
      </c>
      <c r="H443" s="48">
        <f>SmtRes!CZ101</f>
        <v>931.11</v>
      </c>
      <c r="I443" s="46">
        <f>SmtRes!AI101</f>
        <v>0.87</v>
      </c>
      <c r="J443" s="48">
        <f>ROUND(H443*I443, 2)</f>
        <v>810.07</v>
      </c>
      <c r="K443" s="42"/>
      <c r="L443" s="48">
        <f>SmtRes!DF101</f>
        <v>101.26</v>
      </c>
    </row>
    <row r="444" spans="1:83" ht="14.25">
      <c r="A444" s="42"/>
      <c r="B444" s="42" t="s">
        <v>424</v>
      </c>
      <c r="C444" s="50" t="s">
        <v>426</v>
      </c>
      <c r="D444" s="51" t="s">
        <v>37</v>
      </c>
      <c r="E444" s="52">
        <v>6.0000000000000002E-5</v>
      </c>
      <c r="F444" s="53"/>
      <c r="G444" s="52">
        <f>SmtRes!CX102</f>
        <v>1.5E-5</v>
      </c>
      <c r="H444" s="54">
        <f>SmtRes!CZ102</f>
        <v>82698.14</v>
      </c>
      <c r="I444" s="55">
        <f>SmtRes!AI102</f>
        <v>1.2</v>
      </c>
      <c r="J444" s="54">
        <f>ROUND(H444*I444, 2)</f>
        <v>99237.77</v>
      </c>
      <c r="K444" s="50"/>
      <c r="L444" s="54">
        <f>SmtRes!DF102</f>
        <v>1.49</v>
      </c>
    </row>
    <row r="445" spans="1:83" ht="15">
      <c r="A445" s="42"/>
      <c r="B445" s="42"/>
      <c r="C445" s="58" t="s">
        <v>489</v>
      </c>
      <c r="D445" s="43"/>
      <c r="E445" s="47"/>
      <c r="F445" s="41"/>
      <c r="G445" s="47"/>
      <c r="H445" s="48"/>
      <c r="I445" s="46"/>
      <c r="J445" s="48"/>
      <c r="K445" s="42"/>
      <c r="L445" s="48">
        <f>L431+L433+L434+L441</f>
        <v>982.75</v>
      </c>
    </row>
    <row r="446" spans="1:83" ht="57">
      <c r="A446" s="40" t="s">
        <v>550</v>
      </c>
      <c r="B446" s="42" t="str">
        <f>Source!F252</f>
        <v>421/пр_2020_п.75_пп.а</v>
      </c>
      <c r="C446" s="42" t="str">
        <f>Source!G252</f>
        <v>Сметная стоимость вспомогательных ненормируемых материальных ресурсов, не учтенная в сметной норме, 2%</v>
      </c>
      <c r="D446" s="43" t="str">
        <f>Source!H252</f>
        <v>%</v>
      </c>
      <c r="E446" s="47">
        <f>SmtRes!AT103</f>
        <v>2</v>
      </c>
      <c r="F446" s="41"/>
      <c r="G446" s="47">
        <f>Source!I252</f>
        <v>2</v>
      </c>
      <c r="H446" s="48"/>
      <c r="I446" s="46"/>
      <c r="J446" s="48"/>
      <c r="K446" s="42"/>
      <c r="L446" s="48">
        <f>Source!P252</f>
        <v>14.7</v>
      </c>
      <c r="AD446">
        <f>ROUND((Source!AT252/100)*((ROUND(0*Source!I252, 2)+ROUND(0*Source!I252, 2))), 2)</f>
        <v>0</v>
      </c>
      <c r="AE446">
        <f>ROUND((Source!AU252/100)*((ROUND(0*Source!I252, 2)+ROUND(0*Source!I252, 2))), 2)</f>
        <v>0</v>
      </c>
      <c r="AN446">
        <f>L446</f>
        <v>14.7</v>
      </c>
      <c r="AW446">
        <f>L446</f>
        <v>14.7</v>
      </c>
      <c r="AZ446">
        <f>Source!X252</f>
        <v>0</v>
      </c>
      <c r="BA446">
        <f>Source!Y252</f>
        <v>0</v>
      </c>
      <c r="CD446">
        <v>4</v>
      </c>
    </row>
    <row r="447" spans="1:83" ht="14.25">
      <c r="A447" s="42"/>
      <c r="B447" s="42"/>
      <c r="C447" s="42" t="s">
        <v>491</v>
      </c>
      <c r="D447" s="43"/>
      <c r="E447" s="47"/>
      <c r="F447" s="41"/>
      <c r="G447" s="47"/>
      <c r="H447" s="48"/>
      <c r="I447" s="46"/>
      <c r="J447" s="48"/>
      <c r="K447" s="42"/>
      <c r="L447" s="48">
        <f>SUM(AR429:AR450)+SUM(AS429:AS450)+SUM(AT429:AT450)+SUM(AU429:AU450)+SUM(AV429:AV450)</f>
        <v>770.39</v>
      </c>
    </row>
    <row r="448" spans="1:83" ht="28.5">
      <c r="A448" s="42"/>
      <c r="B448" s="42" t="s">
        <v>25</v>
      </c>
      <c r="C448" s="42" t="s">
        <v>492</v>
      </c>
      <c r="D448" s="43" t="s">
        <v>30</v>
      </c>
      <c r="E448" s="47">
        <f>Source!BZ251</f>
        <v>97</v>
      </c>
      <c r="F448" s="41"/>
      <c r="G448" s="47">
        <f>Source!AT251</f>
        <v>97</v>
      </c>
      <c r="H448" s="48"/>
      <c r="I448" s="46"/>
      <c r="J448" s="48"/>
      <c r="K448" s="42"/>
      <c r="L448" s="48">
        <f>SUM(AZ429:AZ450)</f>
        <v>747.28</v>
      </c>
    </row>
    <row r="449" spans="1:83" ht="28.5">
      <c r="A449" s="50"/>
      <c r="B449" s="50" t="s">
        <v>26</v>
      </c>
      <c r="C449" s="50" t="s">
        <v>493</v>
      </c>
      <c r="D449" s="51" t="s">
        <v>30</v>
      </c>
      <c r="E449" s="52">
        <f>Source!CA251</f>
        <v>51</v>
      </c>
      <c r="F449" s="53"/>
      <c r="G449" s="52">
        <f>Source!AU251</f>
        <v>51</v>
      </c>
      <c r="H449" s="54"/>
      <c r="I449" s="55"/>
      <c r="J449" s="54"/>
      <c r="K449" s="50"/>
      <c r="L449" s="54">
        <f>SUM(BA429:BA450)</f>
        <v>392.9</v>
      </c>
    </row>
    <row r="450" spans="1:83" ht="15">
      <c r="C450" s="111" t="s">
        <v>494</v>
      </c>
      <c r="D450" s="111"/>
      <c r="E450" s="111"/>
      <c r="F450" s="111"/>
      <c r="G450" s="111"/>
      <c r="H450" s="111"/>
      <c r="I450" s="112">
        <f>K450/E429</f>
        <v>8550.5199999999986</v>
      </c>
      <c r="J450" s="112"/>
      <c r="K450" s="112">
        <f>L431+L433+L441+L448+L449+L434+SUM(L446:L446)</f>
        <v>2137.6299999999997</v>
      </c>
      <c r="L450" s="112"/>
      <c r="AD450">
        <f>ROUND((Source!AT251/100)*((ROUND(SUMIF(SmtRes!AQ94:'SmtRes'!AQ103,"=1",SmtRes!AD94:'SmtRes'!AD103)*Source!I251, 2)+ROUND(SUMIF(SmtRes!AQ94:'SmtRes'!AQ103,"=1",SmtRes!AC94:'SmtRes'!AC103)*Source!I251, 2))), 2)</f>
        <v>244.1</v>
      </c>
      <c r="AE450">
        <f>ROUND((Source!AU251/100)*((ROUND(SUMIF(SmtRes!AQ94:'SmtRes'!AQ103,"=1",SmtRes!AD94:'SmtRes'!AD103)*Source!I251, 2)+ROUND(SUMIF(SmtRes!AQ94:'SmtRes'!AQ103,"=1",SmtRes!AC94:'SmtRes'!AC103)*Source!I251, 2))), 2)</f>
        <v>128.34</v>
      </c>
      <c r="AN450" s="56">
        <f>L431+L433+L441+L448+L449+L434</f>
        <v>2122.9299999999998</v>
      </c>
      <c r="AO450" s="56">
        <f>L433</f>
        <v>108.32999999999998</v>
      </c>
      <c r="AQ450" t="s">
        <v>495</v>
      </c>
      <c r="AR450" s="56">
        <f>L431</f>
        <v>734.87</v>
      </c>
      <c r="AT450" s="56">
        <f>L434</f>
        <v>35.519999999999996</v>
      </c>
      <c r="AV450" t="s">
        <v>495</v>
      </c>
      <c r="AW450" s="56">
        <f>L441</f>
        <v>104.03</v>
      </c>
      <c r="AZ450">
        <f>Source!X251</f>
        <v>747.28</v>
      </c>
      <c r="BA450">
        <f>Source!Y251</f>
        <v>392.9</v>
      </c>
      <c r="CD450">
        <v>2</v>
      </c>
    </row>
    <row r="451" spans="1:83" ht="28.5">
      <c r="A451" s="40" t="s">
        <v>202</v>
      </c>
      <c r="B451" s="42" t="s">
        <v>551</v>
      </c>
      <c r="C451" s="42" t="str">
        <f>Source!G253</f>
        <v>Заземлитель горизонтальный из стали: полосовой сечением 160 мм2</v>
      </c>
      <c r="D451" s="43" t="str">
        <f>Source!H253</f>
        <v>100 м</v>
      </c>
      <c r="E451" s="47">
        <f>Source!K253</f>
        <v>0.02</v>
      </c>
      <c r="F451" s="41"/>
      <c r="G451" s="47">
        <f>Source!I253</f>
        <v>0.02</v>
      </c>
      <c r="H451" s="48"/>
      <c r="I451" s="46"/>
      <c r="J451" s="48"/>
      <c r="K451" s="42"/>
      <c r="L451" s="48"/>
    </row>
    <row r="452" spans="1:83">
      <c r="C452" s="60" t="str">
        <f>"Объем: "&amp;Source!I253&amp;"=2/"&amp;"100"</f>
        <v>Объем: 0,02=2/100</v>
      </c>
    </row>
    <row r="453" spans="1:83" ht="15">
      <c r="A453" s="41"/>
      <c r="B453" s="45">
        <v>1</v>
      </c>
      <c r="C453" s="41" t="s">
        <v>483</v>
      </c>
      <c r="D453" s="43" t="s">
        <v>321</v>
      </c>
      <c r="E453" s="47"/>
      <c r="F453" s="45"/>
      <c r="G453" s="47">
        <f>Source!U253</f>
        <v>0.28799999999999998</v>
      </c>
      <c r="H453" s="45"/>
      <c r="I453" s="45"/>
      <c r="J453" s="45"/>
      <c r="K453" s="45"/>
      <c r="L453" s="49">
        <f>SUM(L454:L454)-SUMIF(CE454:CE454, 1, L454:L454)</f>
        <v>85.34</v>
      </c>
    </row>
    <row r="454" spans="1:83" ht="28.5">
      <c r="A454" s="42"/>
      <c r="B454" s="42" t="s">
        <v>361</v>
      </c>
      <c r="C454" s="42" t="s">
        <v>362</v>
      </c>
      <c r="D454" s="43" t="s">
        <v>321</v>
      </c>
      <c r="E454" s="47">
        <v>14.4</v>
      </c>
      <c r="F454" s="41"/>
      <c r="G454" s="47">
        <f>SmtRes!CX104</f>
        <v>0.28799999999999998</v>
      </c>
      <c r="H454" s="48"/>
      <c r="I454" s="46"/>
      <c r="J454" s="48">
        <f>SmtRes!CZ104</f>
        <v>296.32</v>
      </c>
      <c r="K454" s="42"/>
      <c r="L454" s="48">
        <f>SmtRes!DI104</f>
        <v>85.34</v>
      </c>
    </row>
    <row r="455" spans="1:83" ht="15">
      <c r="A455" s="41"/>
      <c r="B455" s="45">
        <v>2</v>
      </c>
      <c r="C455" s="41" t="s">
        <v>484</v>
      </c>
      <c r="D455" s="43"/>
      <c r="E455" s="47"/>
      <c r="F455" s="45"/>
      <c r="G455" s="47"/>
      <c r="H455" s="45"/>
      <c r="I455" s="45"/>
      <c r="J455" s="45"/>
      <c r="K455" s="45"/>
      <c r="L455" s="49">
        <f>SUM(L456:L461)-SUMIF(CE456:CE461, 1, L456:L461)</f>
        <v>8.9600000000000009</v>
      </c>
    </row>
    <row r="456" spans="1:83" ht="15">
      <c r="A456" s="41"/>
      <c r="B456" s="45"/>
      <c r="C456" s="41" t="s">
        <v>487</v>
      </c>
      <c r="D456" s="43" t="s">
        <v>321</v>
      </c>
      <c r="E456" s="47"/>
      <c r="F456" s="45"/>
      <c r="G456" s="47">
        <f>Source!V253</f>
        <v>6.2E-2</v>
      </c>
      <c r="H456" s="45"/>
      <c r="I456" s="45"/>
      <c r="J456" s="45"/>
      <c r="K456" s="45"/>
      <c r="L456" s="49">
        <f>SUMIF(CE457:CE461, 1, L457:L461)</f>
        <v>2.84</v>
      </c>
      <c r="CE456">
        <v>1</v>
      </c>
    </row>
    <row r="457" spans="1:83" ht="28.5">
      <c r="A457" s="42"/>
      <c r="B457" s="42" t="s">
        <v>324</v>
      </c>
      <c r="C457" s="42" t="s">
        <v>326</v>
      </c>
      <c r="D457" s="43" t="s">
        <v>327</v>
      </c>
      <c r="E457" s="47">
        <v>0.2</v>
      </c>
      <c r="F457" s="41"/>
      <c r="G457" s="47">
        <f>SmtRes!CX106</f>
        <v>4.0000000000000001E-3</v>
      </c>
      <c r="H457" s="48"/>
      <c r="I457" s="46"/>
      <c r="J457" s="48">
        <f>SmtRes!CZ106</f>
        <v>1442.85</v>
      </c>
      <c r="K457" s="42"/>
      <c r="L457" s="48">
        <f>SmtRes!DG106</f>
        <v>5.77</v>
      </c>
    </row>
    <row r="458" spans="1:83" ht="28.5">
      <c r="A458" s="42"/>
      <c r="B458" s="42" t="s">
        <v>328</v>
      </c>
      <c r="C458" s="42" t="s">
        <v>485</v>
      </c>
      <c r="D458" s="43" t="s">
        <v>321</v>
      </c>
      <c r="E458" s="47">
        <f>SmtRes!DO106*SmtRes!AT106</f>
        <v>0.2</v>
      </c>
      <c r="F458" s="41"/>
      <c r="G458" s="47">
        <f>SmtRes!DO106*SmtRes!CX106</f>
        <v>4.0000000000000001E-3</v>
      </c>
      <c r="H458" s="48"/>
      <c r="I458" s="46"/>
      <c r="J458" s="48">
        <f>ROUND(SmtRes!AG106/SmtRes!DO106, 2)</f>
        <v>407.16</v>
      </c>
      <c r="K458" s="42"/>
      <c r="L458" s="48">
        <f>SmtRes!DH106</f>
        <v>1.63</v>
      </c>
      <c r="CE458">
        <v>1</v>
      </c>
    </row>
    <row r="459" spans="1:83" ht="28.5">
      <c r="A459" s="42"/>
      <c r="B459" s="42" t="s">
        <v>329</v>
      </c>
      <c r="C459" s="42" t="s">
        <v>331</v>
      </c>
      <c r="D459" s="43" t="s">
        <v>327</v>
      </c>
      <c r="E459" s="47">
        <v>0.2</v>
      </c>
      <c r="F459" s="41"/>
      <c r="G459" s="47">
        <f>SmtRes!CX107</f>
        <v>4.0000000000000001E-3</v>
      </c>
      <c r="H459" s="48"/>
      <c r="I459" s="46"/>
      <c r="J459" s="48">
        <f>SmtRes!CZ107</f>
        <v>557.94000000000005</v>
      </c>
      <c r="K459" s="42"/>
      <c r="L459" s="48">
        <f>SmtRes!DG107</f>
        <v>2.23</v>
      </c>
    </row>
    <row r="460" spans="1:83" ht="28.5">
      <c r="A460" s="42"/>
      <c r="B460" s="42" t="s">
        <v>332</v>
      </c>
      <c r="C460" s="42" t="s">
        <v>486</v>
      </c>
      <c r="D460" s="43" t="s">
        <v>321</v>
      </c>
      <c r="E460" s="47">
        <f>SmtRes!DO107*SmtRes!AT107</f>
        <v>0.2</v>
      </c>
      <c r="F460" s="41"/>
      <c r="G460" s="47">
        <f>SmtRes!DO107*SmtRes!CX107</f>
        <v>4.0000000000000001E-3</v>
      </c>
      <c r="H460" s="48"/>
      <c r="I460" s="46"/>
      <c r="J460" s="48">
        <f>ROUND(SmtRes!AG107/SmtRes!DO107, 2)</f>
        <v>303.11</v>
      </c>
      <c r="K460" s="42"/>
      <c r="L460" s="48">
        <f>SmtRes!DH107</f>
        <v>1.21</v>
      </c>
      <c r="CE460">
        <v>1</v>
      </c>
    </row>
    <row r="461" spans="1:83" ht="42.75">
      <c r="A461" s="42"/>
      <c r="B461" s="42" t="s">
        <v>338</v>
      </c>
      <c r="C461" s="42" t="s">
        <v>340</v>
      </c>
      <c r="D461" s="43" t="s">
        <v>327</v>
      </c>
      <c r="E461" s="47">
        <v>2.7</v>
      </c>
      <c r="F461" s="41"/>
      <c r="G461" s="47">
        <f>SmtRes!CX108</f>
        <v>5.3999999999999999E-2</v>
      </c>
      <c r="H461" s="48"/>
      <c r="I461" s="46"/>
      <c r="J461" s="48">
        <f>SmtRes!CZ108</f>
        <v>17.78</v>
      </c>
      <c r="K461" s="42"/>
      <c r="L461" s="48">
        <f>SmtRes!DG108</f>
        <v>0.96</v>
      </c>
    </row>
    <row r="462" spans="1:83" ht="15">
      <c r="A462" s="41"/>
      <c r="B462" s="45">
        <v>4</v>
      </c>
      <c r="C462" s="41" t="s">
        <v>488</v>
      </c>
      <c r="D462" s="43"/>
      <c r="E462" s="47"/>
      <c r="F462" s="45"/>
      <c r="G462" s="47"/>
      <c r="H462" s="45"/>
      <c r="I462" s="45"/>
      <c r="J462" s="45"/>
      <c r="K462" s="45"/>
      <c r="L462" s="49">
        <f>SUM(L463:L464)-SUMIF(CE463:CE464, 1, L463:L464)</f>
        <v>82.49</v>
      </c>
    </row>
    <row r="463" spans="1:83" ht="57">
      <c r="A463" s="42"/>
      <c r="B463" s="42" t="s">
        <v>341</v>
      </c>
      <c r="C463" s="42" t="s">
        <v>343</v>
      </c>
      <c r="D463" s="43" t="s">
        <v>344</v>
      </c>
      <c r="E463" s="47">
        <v>0.9</v>
      </c>
      <c r="F463" s="41"/>
      <c r="G463" s="47">
        <f>SmtRes!CX109</f>
        <v>1.7999999999999999E-2</v>
      </c>
      <c r="H463" s="48">
        <f>SmtRes!CZ109</f>
        <v>155.63</v>
      </c>
      <c r="I463" s="46">
        <f>SmtRes!AI109</f>
        <v>1.03</v>
      </c>
      <c r="J463" s="48">
        <f>ROUND(H463*I463, 2)</f>
        <v>160.30000000000001</v>
      </c>
      <c r="K463" s="42"/>
      <c r="L463" s="48">
        <f>SmtRes!DF109</f>
        <v>2.89</v>
      </c>
    </row>
    <row r="464" spans="1:83" ht="57">
      <c r="A464" s="42"/>
      <c r="B464" s="42" t="s">
        <v>427</v>
      </c>
      <c r="C464" s="50" t="s">
        <v>429</v>
      </c>
      <c r="D464" s="51" t="s">
        <v>344</v>
      </c>
      <c r="E464" s="52">
        <v>3.7</v>
      </c>
      <c r="F464" s="53"/>
      <c r="G464" s="52">
        <f>SmtRes!CX110</f>
        <v>7.3999999999999996E-2</v>
      </c>
      <c r="H464" s="54">
        <f>SmtRes!CZ110</f>
        <v>911.56</v>
      </c>
      <c r="I464" s="55">
        <f>SmtRes!AI110</f>
        <v>1.18</v>
      </c>
      <c r="J464" s="54">
        <f>ROUND(H464*I464, 2)</f>
        <v>1075.6400000000001</v>
      </c>
      <c r="K464" s="50"/>
      <c r="L464" s="54">
        <f>SmtRes!DF110</f>
        <v>79.599999999999994</v>
      </c>
    </row>
    <row r="465" spans="1:82" ht="15">
      <c r="A465" s="42"/>
      <c r="B465" s="42"/>
      <c r="C465" s="58" t="s">
        <v>489</v>
      </c>
      <c r="D465" s="43"/>
      <c r="E465" s="47"/>
      <c r="F465" s="41"/>
      <c r="G465" s="47"/>
      <c r="H465" s="48"/>
      <c r="I465" s="46"/>
      <c r="J465" s="48"/>
      <c r="K465" s="42"/>
      <c r="L465" s="48">
        <f>L453+L455+L456+L462</f>
        <v>179.63</v>
      </c>
    </row>
    <row r="466" spans="1:82" ht="57">
      <c r="A466" s="40" t="s">
        <v>552</v>
      </c>
      <c r="B466" s="42" t="str">
        <f>Source!F254</f>
        <v>421/пр_2020_п.75_пп.а</v>
      </c>
      <c r="C466" s="42" t="str">
        <f>Source!G254</f>
        <v>Сметная стоимость вспомогательных ненормируемых материальных ресурсов, не учтенная в сметной норме, 2%</v>
      </c>
      <c r="D466" s="43" t="str">
        <f>Source!H254</f>
        <v>%</v>
      </c>
      <c r="E466" s="47">
        <f>SmtRes!AT111</f>
        <v>2</v>
      </c>
      <c r="F466" s="41"/>
      <c r="G466" s="47">
        <f>Source!I254</f>
        <v>2</v>
      </c>
      <c r="H466" s="48"/>
      <c r="I466" s="46"/>
      <c r="J466" s="48"/>
      <c r="K466" s="42"/>
      <c r="L466" s="48">
        <f>Source!P254</f>
        <v>1.71</v>
      </c>
      <c r="AD466">
        <f>ROUND((Source!AT254/100)*((ROUND(0*Source!I254, 2)+ROUND(0*Source!I254, 2))), 2)</f>
        <v>0</v>
      </c>
      <c r="AE466">
        <f>ROUND((Source!AU254/100)*((ROUND(0*Source!I254, 2)+ROUND(0*Source!I254, 2))), 2)</f>
        <v>0</v>
      </c>
      <c r="AN466">
        <f>L466</f>
        <v>1.71</v>
      </c>
      <c r="AW466">
        <f>L466</f>
        <v>1.71</v>
      </c>
      <c r="AZ466">
        <f>Source!X254</f>
        <v>0</v>
      </c>
      <c r="BA466">
        <f>Source!Y254</f>
        <v>0</v>
      </c>
      <c r="CD466">
        <v>4</v>
      </c>
    </row>
    <row r="467" spans="1:82" ht="14.25">
      <c r="A467" s="42"/>
      <c r="B467" s="42"/>
      <c r="C467" s="42" t="s">
        <v>491</v>
      </c>
      <c r="D467" s="43"/>
      <c r="E467" s="47"/>
      <c r="F467" s="41"/>
      <c r="G467" s="47"/>
      <c r="H467" s="48"/>
      <c r="I467" s="46"/>
      <c r="J467" s="48"/>
      <c r="K467" s="42"/>
      <c r="L467" s="48">
        <f>SUM(AR451:AR470)+SUM(AS451:AS470)+SUM(AT451:AT470)+SUM(AU451:AU470)+SUM(AV451:AV470)</f>
        <v>88.18</v>
      </c>
    </row>
    <row r="468" spans="1:82" ht="28.5">
      <c r="A468" s="42"/>
      <c r="B468" s="42" t="s">
        <v>25</v>
      </c>
      <c r="C468" s="42" t="s">
        <v>492</v>
      </c>
      <c r="D468" s="43" t="s">
        <v>30</v>
      </c>
      <c r="E468" s="47">
        <f>Source!BZ253</f>
        <v>97</v>
      </c>
      <c r="F468" s="41"/>
      <c r="G468" s="47">
        <f>Source!AT253</f>
        <v>97</v>
      </c>
      <c r="H468" s="48"/>
      <c r="I468" s="46"/>
      <c r="J468" s="48"/>
      <c r="K468" s="42"/>
      <c r="L468" s="48">
        <f>SUM(AZ451:AZ470)</f>
        <v>85.53</v>
      </c>
    </row>
    <row r="469" spans="1:82" ht="28.5">
      <c r="A469" s="50"/>
      <c r="B469" s="50" t="s">
        <v>26</v>
      </c>
      <c r="C469" s="50" t="s">
        <v>493</v>
      </c>
      <c r="D469" s="51" t="s">
        <v>30</v>
      </c>
      <c r="E469" s="52">
        <f>Source!CA253</f>
        <v>51</v>
      </c>
      <c r="F469" s="53"/>
      <c r="G469" s="52">
        <f>Source!AU253</f>
        <v>51</v>
      </c>
      <c r="H469" s="54"/>
      <c r="I469" s="55"/>
      <c r="J469" s="54"/>
      <c r="K469" s="50"/>
      <c r="L469" s="54">
        <f>SUM(BA451:BA470)</f>
        <v>44.97</v>
      </c>
    </row>
    <row r="470" spans="1:82" ht="15">
      <c r="C470" s="111" t="s">
        <v>494</v>
      </c>
      <c r="D470" s="111"/>
      <c r="E470" s="111"/>
      <c r="F470" s="111"/>
      <c r="G470" s="111"/>
      <c r="H470" s="111"/>
      <c r="I470" s="112">
        <f>K470/E451</f>
        <v>15592.000000000002</v>
      </c>
      <c r="J470" s="112"/>
      <c r="K470" s="112">
        <f>L453+L455+L462+L468+L469+L456+SUM(L466:L466)</f>
        <v>311.84000000000003</v>
      </c>
      <c r="L470" s="112"/>
      <c r="AD470">
        <f>ROUND((Source!AT253/100)*((ROUND(SUMIF(SmtRes!AQ104:'SmtRes'!AQ111,"=1",SmtRes!AD104:'SmtRes'!AD111)*Source!I253, 2)+ROUND(SUMIF(SmtRes!AQ104:'SmtRes'!AQ111,"=1",SmtRes!AC104:'SmtRes'!AC111)*Source!I253, 2))), 2)</f>
        <v>19.54</v>
      </c>
      <c r="AE470">
        <f>ROUND((Source!AU253/100)*((ROUND(SUMIF(SmtRes!AQ104:'SmtRes'!AQ111,"=1",SmtRes!AD104:'SmtRes'!AD111)*Source!I253, 2)+ROUND(SUMIF(SmtRes!AQ104:'SmtRes'!AQ111,"=1",SmtRes!AC104:'SmtRes'!AC111)*Source!I253, 2))), 2)</f>
        <v>10.27</v>
      </c>
      <c r="AN470" s="56">
        <f>L453+L455+L462+L468+L469+L456</f>
        <v>310.13000000000005</v>
      </c>
      <c r="AO470" s="56">
        <f>L455</f>
        <v>8.9600000000000009</v>
      </c>
      <c r="AQ470" t="s">
        <v>495</v>
      </c>
      <c r="AR470" s="56">
        <f>L453</f>
        <v>85.34</v>
      </c>
      <c r="AT470" s="56">
        <f>L456</f>
        <v>2.84</v>
      </c>
      <c r="AV470" t="s">
        <v>495</v>
      </c>
      <c r="AW470" s="56">
        <f>L462</f>
        <v>82.49</v>
      </c>
      <c r="AZ470">
        <f>Source!X253</f>
        <v>85.53</v>
      </c>
      <c r="BA470">
        <f>Source!Y253</f>
        <v>44.97</v>
      </c>
      <c r="CD470">
        <v>2</v>
      </c>
    </row>
    <row r="472" spans="1:82" ht="15">
      <c r="A472" s="62"/>
      <c r="B472" s="63"/>
      <c r="C472" s="129" t="s">
        <v>501</v>
      </c>
      <c r="D472" s="129"/>
      <c r="E472" s="129"/>
      <c r="F472" s="129"/>
      <c r="G472" s="129"/>
      <c r="H472" s="129"/>
      <c r="I472" s="49"/>
      <c r="J472" s="62"/>
      <c r="K472" s="64"/>
      <c r="L472" s="49">
        <f>L474+L475+L481+L485</f>
        <v>51674.67</v>
      </c>
    </row>
    <row r="473" spans="1:82" ht="14.25">
      <c r="A473" s="59"/>
      <c r="B473" s="61"/>
      <c r="C473" s="128" t="s">
        <v>502</v>
      </c>
      <c r="D473" s="127"/>
      <c r="E473" s="127"/>
      <c r="F473" s="127"/>
      <c r="G473" s="127"/>
      <c r="H473" s="127"/>
      <c r="I473" s="48"/>
      <c r="J473" s="59"/>
      <c r="K473" s="45"/>
      <c r="L473" s="48"/>
    </row>
    <row r="474" spans="1:82" ht="14.25">
      <c r="A474" s="59"/>
      <c r="B474" s="61"/>
      <c r="C474" s="127" t="s">
        <v>503</v>
      </c>
      <c r="D474" s="127"/>
      <c r="E474" s="127"/>
      <c r="F474" s="127"/>
      <c r="G474" s="127"/>
      <c r="H474" s="127"/>
      <c r="I474" s="48"/>
      <c r="J474" s="59"/>
      <c r="K474" s="45"/>
      <c r="L474" s="48">
        <f>SUM(AR292:AR470)</f>
        <v>36338.06</v>
      </c>
    </row>
    <row r="475" spans="1:82" ht="14.25" hidden="1">
      <c r="A475" s="59"/>
      <c r="B475" s="61"/>
      <c r="C475" s="127" t="s">
        <v>504</v>
      </c>
      <c r="D475" s="127"/>
      <c r="E475" s="127"/>
      <c r="F475" s="127"/>
      <c r="G475" s="127"/>
      <c r="H475" s="127"/>
      <c r="I475" s="48"/>
      <c r="J475" s="59"/>
      <c r="K475" s="45"/>
      <c r="L475" s="48">
        <f>L477+L480+L479</f>
        <v>2508.1099999999997</v>
      </c>
    </row>
    <row r="476" spans="1:82" ht="14.25" hidden="1">
      <c r="A476" s="59"/>
      <c r="B476" s="61"/>
      <c r="C476" s="128" t="s">
        <v>505</v>
      </c>
      <c r="D476" s="127"/>
      <c r="E476" s="127"/>
      <c r="F476" s="127"/>
      <c r="G476" s="127"/>
      <c r="H476" s="127"/>
      <c r="I476" s="48"/>
      <c r="J476" s="59"/>
      <c r="K476" s="45"/>
      <c r="L476" s="48"/>
    </row>
    <row r="477" spans="1:82" ht="14.25">
      <c r="A477" s="59"/>
      <c r="B477" s="61"/>
      <c r="C477" s="127" t="s">
        <v>504</v>
      </c>
      <c r="D477" s="127"/>
      <c r="E477" s="127"/>
      <c r="F477" s="127"/>
      <c r="G477" s="127"/>
      <c r="H477" s="127"/>
      <c r="I477" s="48"/>
      <c r="J477" s="59"/>
      <c r="K477" s="45"/>
      <c r="L477" s="48">
        <f>SUM(AO292:AO470)</f>
        <v>1836.9299999999996</v>
      </c>
    </row>
    <row r="478" spans="1:82" ht="14.25" hidden="1">
      <c r="A478" s="59"/>
      <c r="B478" s="61"/>
      <c r="C478" s="128" t="s">
        <v>506</v>
      </c>
      <c r="D478" s="127"/>
      <c r="E478" s="127"/>
      <c r="F478" s="127"/>
      <c r="G478" s="127"/>
      <c r="H478" s="127"/>
      <c r="I478" s="48"/>
      <c r="J478" s="59"/>
      <c r="K478" s="45"/>
      <c r="L478" s="48"/>
    </row>
    <row r="479" spans="1:82" ht="14.25">
      <c r="A479" s="59"/>
      <c r="B479" s="61"/>
      <c r="C479" s="127" t="s">
        <v>526</v>
      </c>
      <c r="D479" s="127"/>
      <c r="E479" s="127"/>
      <c r="F479" s="127"/>
      <c r="G479" s="127"/>
      <c r="H479" s="127"/>
      <c r="I479" s="48"/>
      <c r="J479" s="59"/>
      <c r="K479" s="45"/>
      <c r="L479" s="48">
        <f>SUM(AT292:AT470)</f>
        <v>671.18000000000006</v>
      </c>
    </row>
    <row r="480" spans="1:82" ht="14.25" hidden="1">
      <c r="A480" s="59"/>
      <c r="B480" s="61"/>
      <c r="C480" s="127" t="s">
        <v>507</v>
      </c>
      <c r="D480" s="127"/>
      <c r="E480" s="127"/>
      <c r="F480" s="127"/>
      <c r="G480" s="127"/>
      <c r="H480" s="127"/>
      <c r="I480" s="48"/>
      <c r="J480" s="59"/>
      <c r="K480" s="45"/>
      <c r="L480" s="48">
        <f>SUM(AV292:AV470)</f>
        <v>0</v>
      </c>
    </row>
    <row r="481" spans="1:12" ht="14.25">
      <c r="A481" s="59"/>
      <c r="B481" s="61"/>
      <c r="C481" s="127" t="s">
        <v>508</v>
      </c>
      <c r="D481" s="127"/>
      <c r="E481" s="127"/>
      <c r="F481" s="127"/>
      <c r="G481" s="127"/>
      <c r="H481" s="127"/>
      <c r="I481" s="48"/>
      <c r="J481" s="59"/>
      <c r="K481" s="45"/>
      <c r="L481" s="48">
        <f>L483+L484</f>
        <v>12828.500000000002</v>
      </c>
    </row>
    <row r="482" spans="1:12" ht="14.25">
      <c r="A482" s="59"/>
      <c r="B482" s="61"/>
      <c r="C482" s="128" t="s">
        <v>505</v>
      </c>
      <c r="D482" s="127"/>
      <c r="E482" s="127"/>
      <c r="F482" s="127"/>
      <c r="G482" s="127"/>
      <c r="H482" s="127"/>
      <c r="I482" s="48"/>
      <c r="J482" s="59"/>
      <c r="K482" s="45"/>
      <c r="L482" s="48"/>
    </row>
    <row r="483" spans="1:12" ht="14.25">
      <c r="A483" s="59"/>
      <c r="B483" s="61"/>
      <c r="C483" s="127" t="s">
        <v>509</v>
      </c>
      <c r="D483" s="127"/>
      <c r="E483" s="127"/>
      <c r="F483" s="127"/>
      <c r="G483" s="127"/>
      <c r="H483" s="127"/>
      <c r="I483" s="48"/>
      <c r="J483" s="59"/>
      <c r="K483" s="45"/>
      <c r="L483" s="48">
        <f>SUM(AW292:AW470)-SUM(BK292:BK470)</f>
        <v>12828.500000000002</v>
      </c>
    </row>
    <row r="484" spans="1:12" ht="14.25" hidden="1">
      <c r="A484" s="59"/>
      <c r="B484" s="61"/>
      <c r="C484" s="127" t="s">
        <v>510</v>
      </c>
      <c r="D484" s="127"/>
      <c r="E484" s="127"/>
      <c r="F484" s="127"/>
      <c r="G484" s="127"/>
      <c r="H484" s="127"/>
      <c r="I484" s="48"/>
      <c r="J484" s="59"/>
      <c r="K484" s="45"/>
      <c r="L484" s="48">
        <f>SUM(BC292:BC470)</f>
        <v>0</v>
      </c>
    </row>
    <row r="485" spans="1:12" ht="14.25" hidden="1">
      <c r="A485" s="59"/>
      <c r="B485" s="61"/>
      <c r="C485" s="127" t="s">
        <v>511</v>
      </c>
      <c r="D485" s="127"/>
      <c r="E485" s="127"/>
      <c r="F485" s="127"/>
      <c r="G485" s="127"/>
      <c r="H485" s="127"/>
      <c r="I485" s="48"/>
      <c r="J485" s="59"/>
      <c r="K485" s="45"/>
      <c r="L485" s="48">
        <f>SUM(BB292:BB470)</f>
        <v>0</v>
      </c>
    </row>
    <row r="486" spans="1:12" ht="14.25">
      <c r="A486" s="59"/>
      <c r="B486" s="61"/>
      <c r="C486" s="127" t="s">
        <v>512</v>
      </c>
      <c r="D486" s="127"/>
      <c r="E486" s="127"/>
      <c r="F486" s="127"/>
      <c r="G486" s="127"/>
      <c r="H486" s="127"/>
      <c r="I486" s="48"/>
      <c r="J486" s="59"/>
      <c r="K486" s="45"/>
      <c r="L486" s="48">
        <f>SUM(AR292:AR470)+SUM(AT292:AT470)+SUM(AV292:AV470)</f>
        <v>37009.24</v>
      </c>
    </row>
    <row r="487" spans="1:12" ht="14.25">
      <c r="A487" s="59"/>
      <c r="B487" s="61"/>
      <c r="C487" s="127" t="s">
        <v>513</v>
      </c>
      <c r="D487" s="127"/>
      <c r="E487" s="127"/>
      <c r="F487" s="127"/>
      <c r="G487" s="127"/>
      <c r="H487" s="127"/>
      <c r="I487" s="48"/>
      <c r="J487" s="59"/>
      <c r="K487" s="45"/>
      <c r="L487" s="48">
        <f>SUM(AZ292:AZ470)</f>
        <v>34857.719999999994</v>
      </c>
    </row>
    <row r="488" spans="1:12" ht="14.25">
      <c r="A488" s="59"/>
      <c r="B488" s="61"/>
      <c r="C488" s="127" t="s">
        <v>514</v>
      </c>
      <c r="D488" s="127"/>
      <c r="E488" s="127"/>
      <c r="F488" s="127"/>
      <c r="G488" s="127"/>
      <c r="H488" s="127"/>
      <c r="I488" s="48"/>
      <c r="J488" s="59"/>
      <c r="K488" s="45"/>
      <c r="L488" s="48">
        <f>SUM(BA292:BA470)</f>
        <v>18130.960000000003</v>
      </c>
    </row>
    <row r="489" spans="1:12" ht="14.25" hidden="1">
      <c r="A489" s="59"/>
      <c r="B489" s="61"/>
      <c r="C489" s="127" t="s">
        <v>515</v>
      </c>
      <c r="D489" s="127"/>
      <c r="E489" s="127"/>
      <c r="F489" s="127"/>
      <c r="G489" s="127"/>
      <c r="H489" s="127"/>
      <c r="I489" s="48"/>
      <c r="J489" s="59"/>
      <c r="K489" s="45"/>
      <c r="L489" s="48">
        <f>L491+L492</f>
        <v>0</v>
      </c>
    </row>
    <row r="490" spans="1:12" ht="14.25" hidden="1">
      <c r="A490" s="59"/>
      <c r="B490" s="61"/>
      <c r="C490" s="128" t="s">
        <v>502</v>
      </c>
      <c r="D490" s="127"/>
      <c r="E490" s="127"/>
      <c r="F490" s="127"/>
      <c r="G490" s="127"/>
      <c r="H490" s="127"/>
      <c r="I490" s="48"/>
      <c r="J490" s="59"/>
      <c r="K490" s="45"/>
      <c r="L490" s="48"/>
    </row>
    <row r="491" spans="1:12" ht="14.25" hidden="1">
      <c r="A491" s="59"/>
      <c r="B491" s="61"/>
      <c r="C491" s="127" t="s">
        <v>516</v>
      </c>
      <c r="D491" s="127"/>
      <c r="E491" s="127"/>
      <c r="F491" s="127"/>
      <c r="G491" s="127"/>
      <c r="H491" s="127"/>
      <c r="I491" s="48"/>
      <c r="J491" s="59"/>
      <c r="K491" s="45"/>
      <c r="L491" s="48">
        <f>SUM(BK292:BK470)</f>
        <v>0</v>
      </c>
    </row>
    <row r="492" spans="1:12" ht="14.25" hidden="1">
      <c r="A492" s="59"/>
      <c r="B492" s="61"/>
      <c r="C492" s="127" t="s">
        <v>517</v>
      </c>
      <c r="D492" s="127"/>
      <c r="E492" s="127"/>
      <c r="F492" s="127"/>
      <c r="G492" s="127"/>
      <c r="H492" s="127"/>
      <c r="I492" s="48"/>
      <c r="J492" s="59"/>
      <c r="K492" s="45"/>
      <c r="L492" s="48">
        <f>SUM(BD292:BD470)</f>
        <v>0</v>
      </c>
    </row>
    <row r="493" spans="1:12" ht="14.25" hidden="1">
      <c r="A493" s="59"/>
      <c r="B493" s="61"/>
      <c r="C493" s="127" t="s">
        <v>518</v>
      </c>
      <c r="D493" s="127"/>
      <c r="E493" s="127"/>
      <c r="F493" s="127"/>
      <c r="G493" s="127"/>
      <c r="H493" s="127"/>
      <c r="I493" s="48"/>
      <c r="J493" s="59"/>
      <c r="K493" s="45"/>
      <c r="L493" s="48"/>
    </row>
    <row r="494" spans="1:12" ht="14.25" hidden="1">
      <c r="A494" s="59"/>
      <c r="B494" s="61"/>
      <c r="C494" s="127" t="s">
        <v>519</v>
      </c>
      <c r="D494" s="127"/>
      <c r="E494" s="127"/>
      <c r="F494" s="127"/>
      <c r="G494" s="127"/>
      <c r="H494" s="127"/>
      <c r="I494" s="48"/>
      <c r="J494" s="59"/>
      <c r="K494" s="45"/>
      <c r="L494" s="48">
        <f>SUM(BO292:BO470)</f>
        <v>0</v>
      </c>
    </row>
    <row r="495" spans="1:12" ht="15">
      <c r="A495" s="62"/>
      <c r="B495" s="63"/>
      <c r="C495" s="129" t="s">
        <v>520</v>
      </c>
      <c r="D495" s="129"/>
      <c r="E495" s="129"/>
      <c r="F495" s="129"/>
      <c r="G495" s="129"/>
      <c r="H495" s="129"/>
      <c r="I495" s="49"/>
      <c r="J495" s="62"/>
      <c r="K495" s="64"/>
      <c r="L495" s="49">
        <f>L472+L487+L488+L489+L493+L494</f>
        <v>104663.34999999999</v>
      </c>
    </row>
    <row r="496" spans="1:12" ht="14.25">
      <c r="A496" s="59"/>
      <c r="B496" s="61"/>
      <c r="C496" s="128" t="s">
        <v>521</v>
      </c>
      <c r="D496" s="127"/>
      <c r="E496" s="127"/>
      <c r="F496" s="127"/>
      <c r="G496" s="127"/>
      <c r="H496" s="127"/>
      <c r="I496" s="48"/>
      <c r="J496" s="59"/>
      <c r="K496" s="45"/>
      <c r="L496" s="48"/>
    </row>
    <row r="497" spans="1:82" ht="14.25" hidden="1">
      <c r="A497" s="59"/>
      <c r="B497" s="61"/>
      <c r="C497" s="127" t="s">
        <v>522</v>
      </c>
      <c r="D497" s="127"/>
      <c r="E497" s="127"/>
      <c r="F497" s="127"/>
      <c r="G497" s="127"/>
      <c r="H497" s="127"/>
      <c r="I497" s="48"/>
      <c r="J497" s="59"/>
      <c r="K497" s="45"/>
      <c r="L497" s="48">
        <f>SUM(AX292:AX470)</f>
        <v>0</v>
      </c>
    </row>
    <row r="498" spans="1:82" ht="14.25" hidden="1">
      <c r="A498" s="59"/>
      <c r="B498" s="61"/>
      <c r="C498" s="127" t="s">
        <v>523</v>
      </c>
      <c r="D498" s="127"/>
      <c r="E498" s="127"/>
      <c r="F498" s="127"/>
      <c r="G498" s="127"/>
      <c r="H498" s="127"/>
      <c r="I498" s="48"/>
      <c r="J498" s="59"/>
      <c r="K498" s="45"/>
      <c r="L498" s="48">
        <f>SUM(AY292:AY470)</f>
        <v>0</v>
      </c>
    </row>
    <row r="499" spans="1:82" ht="14.25">
      <c r="A499" s="59"/>
      <c r="B499" s="61"/>
      <c r="C499" s="127" t="s">
        <v>524</v>
      </c>
      <c r="D499" s="127"/>
      <c r="E499" s="127"/>
      <c r="F499" s="130"/>
      <c r="G499" s="47">
        <f>Source!F278</f>
        <v>103.598</v>
      </c>
      <c r="H499" s="59"/>
      <c r="I499" s="59"/>
      <c r="J499" s="59"/>
      <c r="K499" s="59"/>
      <c r="L499" s="59"/>
    </row>
    <row r="500" spans="1:82" ht="14.25">
      <c r="A500" s="59"/>
      <c r="B500" s="61"/>
      <c r="C500" s="127" t="s">
        <v>525</v>
      </c>
      <c r="D500" s="127"/>
      <c r="E500" s="127"/>
      <c r="F500" s="130"/>
      <c r="G500" s="47">
        <f>Source!F279</f>
        <v>8.9239999999999995</v>
      </c>
      <c r="H500" s="59"/>
      <c r="I500" s="59"/>
      <c r="J500" s="59"/>
      <c r="K500" s="59"/>
      <c r="L500" s="59"/>
    </row>
    <row r="502" spans="1:82" ht="14.25">
      <c r="C502" s="131" t="str">
        <f>Source!H295</f>
        <v>НДС 20%</v>
      </c>
      <c r="D502" s="131"/>
      <c r="E502" s="131"/>
      <c r="F502" s="131"/>
      <c r="G502" s="131"/>
      <c r="H502" s="131"/>
      <c r="I502" s="131"/>
      <c r="J502" s="131"/>
      <c r="K502" s="131"/>
      <c r="L502" s="57">
        <f>IF(Source!Y295=0, "", Source!Y295)</f>
        <v>20932.669999999998</v>
      </c>
    </row>
    <row r="503" spans="1:82" ht="14.25">
      <c r="C503" s="131" t="str">
        <f>Source!H296</f>
        <v>ИТОГО с НДС</v>
      </c>
      <c r="D503" s="131"/>
      <c r="E503" s="131"/>
      <c r="F503" s="131"/>
      <c r="G503" s="131"/>
      <c r="H503" s="131"/>
      <c r="I503" s="131"/>
      <c r="J503" s="131"/>
      <c r="K503" s="131"/>
      <c r="L503" s="57">
        <f>IF(Source!Y296=0, "", Source!Y296)</f>
        <v>125596.02</v>
      </c>
    </row>
    <row r="505" spans="1:82" ht="16.5">
      <c r="A505" s="110" t="s">
        <v>527</v>
      </c>
      <c r="B505" s="110"/>
      <c r="C505" s="110"/>
      <c r="D505" s="110"/>
      <c r="E505" s="110"/>
      <c r="F505" s="110"/>
      <c r="G505" s="110"/>
      <c r="H505" s="110"/>
      <c r="I505" s="110"/>
      <c r="J505" s="110"/>
      <c r="K505" s="110"/>
      <c r="L505" s="110"/>
    </row>
    <row r="506" spans="1:82" ht="28.5">
      <c r="A506" s="65" t="s">
        <v>207</v>
      </c>
      <c r="B506" s="50" t="str">
        <f>Source!F302</f>
        <v>цена поставщика</v>
      </c>
      <c r="C506" s="50" t="str">
        <f>Source!G302</f>
        <v>Шкаф для АСТУЭ с монтажной панелью</v>
      </c>
      <c r="D506" s="51" t="str">
        <f>Source!H302</f>
        <v>ШТ</v>
      </c>
      <c r="E506" s="52">
        <f>Source!K302</f>
        <v>1</v>
      </c>
      <c r="F506" s="53"/>
      <c r="G506" s="52">
        <f>Source!I302</f>
        <v>1</v>
      </c>
      <c r="H506" s="54">
        <f>Source!AL302</f>
        <v>15580.83</v>
      </c>
      <c r="I506" s="55"/>
      <c r="J506" s="54"/>
      <c r="K506" s="50"/>
      <c r="L506" s="54">
        <f>Source!P302</f>
        <v>15580.83</v>
      </c>
    </row>
    <row r="507" spans="1:82" ht="15">
      <c r="C507" s="111" t="s">
        <v>494</v>
      </c>
      <c r="D507" s="111"/>
      <c r="E507" s="111"/>
      <c r="F507" s="111"/>
      <c r="G507" s="111"/>
      <c r="H507" s="111"/>
      <c r="I507" s="112">
        <f>K507/E506</f>
        <v>15580.83</v>
      </c>
      <c r="J507" s="112"/>
      <c r="K507" s="112">
        <f>L506</f>
        <v>15580.83</v>
      </c>
      <c r="L507" s="112"/>
      <c r="AD507">
        <f>ROUND((Source!AT302/100)*((ROUND(ROUND(Source!AO302,2)*Source!I302, 2)+ROUND(ROUND(Source!AN302,2)*Source!I302, 2))), 2)</f>
        <v>0</v>
      </c>
      <c r="AE507">
        <f>ROUND((Source!AU302/100)*((ROUND(ROUND(Source!AO302,2)*Source!I302, 2)+ROUND(ROUND(Source!AN302,2)*Source!I302, 2))), 2)</f>
        <v>0</v>
      </c>
      <c r="AN507" s="56">
        <f>L506</f>
        <v>15580.83</v>
      </c>
      <c r="AO507">
        <f>0</f>
        <v>0</v>
      </c>
      <c r="AQ507" t="s">
        <v>495</v>
      </c>
      <c r="AR507">
        <f>0</f>
        <v>0</v>
      </c>
      <c r="AT507">
        <f>0</f>
        <v>0</v>
      </c>
      <c r="AV507" t="s">
        <v>495</v>
      </c>
      <c r="AW507" s="56">
        <f>L506</f>
        <v>15580.83</v>
      </c>
      <c r="AZ507">
        <f>Source!X302</f>
        <v>0</v>
      </c>
      <c r="BA507">
        <f>Source!Y302</f>
        <v>0</v>
      </c>
      <c r="CD507">
        <v>1</v>
      </c>
    </row>
    <row r="508" spans="1:82" ht="57">
      <c r="A508" s="65" t="s">
        <v>209</v>
      </c>
      <c r="B508" s="50" t="str">
        <f>Source!F303</f>
        <v>цена поставщика</v>
      </c>
      <c r="C508" s="50" t="str">
        <f>Source!G303</f>
        <v>УСПД(Маршрутизатор)- RTR8A.LGE-1-2-RUF(DC2S.7-1) (PLC (OFDM) +RF(Комбинированный), Ethernet, GPRS,USB,RS-485.</v>
      </c>
      <c r="D508" s="51" t="str">
        <f>Source!H303</f>
        <v>ШТ</v>
      </c>
      <c r="E508" s="52">
        <f>Source!K303</f>
        <v>1</v>
      </c>
      <c r="F508" s="53"/>
      <c r="G508" s="52">
        <f>Source!I303</f>
        <v>1</v>
      </c>
      <c r="H508" s="54">
        <f>Source!AL303</f>
        <v>70430</v>
      </c>
      <c r="I508" s="55"/>
      <c r="J508" s="54"/>
      <c r="K508" s="50"/>
      <c r="L508" s="54">
        <f>Source!P303</f>
        <v>70430</v>
      </c>
    </row>
    <row r="509" spans="1:82" ht="15">
      <c r="C509" s="111" t="s">
        <v>494</v>
      </c>
      <c r="D509" s="111"/>
      <c r="E509" s="111"/>
      <c r="F509" s="111"/>
      <c r="G509" s="111"/>
      <c r="H509" s="111"/>
      <c r="I509" s="112">
        <f>K509/E508</f>
        <v>70430</v>
      </c>
      <c r="J509" s="112"/>
      <c r="K509" s="112">
        <f>L508</f>
        <v>70430</v>
      </c>
      <c r="L509" s="112"/>
      <c r="AD509">
        <f>ROUND((Source!AT303/100)*((ROUND(ROUND(Source!AO303,2)*Source!I303, 2)+ROUND(ROUND(Source!AN303,2)*Source!I303, 2))), 2)</f>
        <v>0</v>
      </c>
      <c r="AE509">
        <f>ROUND((Source!AU303/100)*((ROUND(ROUND(Source!AO303,2)*Source!I303, 2)+ROUND(ROUND(Source!AN303,2)*Source!I303, 2))), 2)</f>
        <v>0</v>
      </c>
      <c r="AN509" s="56">
        <f>L508</f>
        <v>70430</v>
      </c>
      <c r="AO509">
        <f>0</f>
        <v>0</v>
      </c>
      <c r="AQ509" t="s">
        <v>495</v>
      </c>
      <c r="AR509">
        <f>0</f>
        <v>0</v>
      </c>
      <c r="AT509">
        <f>0</f>
        <v>0</v>
      </c>
      <c r="AV509" t="s">
        <v>495</v>
      </c>
      <c r="AW509" s="56">
        <f>L508</f>
        <v>70430</v>
      </c>
      <c r="AZ509">
        <f>Source!X303</f>
        <v>0</v>
      </c>
      <c r="BA509">
        <f>Source!Y303</f>
        <v>0</v>
      </c>
      <c r="CD509">
        <v>1</v>
      </c>
    </row>
    <row r="510" spans="1:82" ht="42.75">
      <c r="A510" s="65" t="s">
        <v>211</v>
      </c>
      <c r="B510" s="50" t="str">
        <f>Source!F304</f>
        <v>цена поставщика</v>
      </c>
      <c r="C510" s="50" t="str">
        <f>Source!G304</f>
        <v>Счетчик трехфазный трансформаторного включения-AD13A.3(I)-BLRs-Z-2r-W (3-6-1)</v>
      </c>
      <c r="D510" s="51" t="str">
        <f>Source!H304</f>
        <v>ШТ</v>
      </c>
      <c r="E510" s="52">
        <f>Source!K304</f>
        <v>4</v>
      </c>
      <c r="F510" s="53"/>
      <c r="G510" s="52">
        <f>Source!I304</f>
        <v>4</v>
      </c>
      <c r="H510" s="54">
        <f>Source!AL304</f>
        <v>21225.83</v>
      </c>
      <c r="I510" s="55"/>
      <c r="J510" s="54"/>
      <c r="K510" s="50"/>
      <c r="L510" s="54">
        <f>Source!P304</f>
        <v>84903.32</v>
      </c>
    </row>
    <row r="511" spans="1:82" ht="15">
      <c r="C511" s="111" t="s">
        <v>494</v>
      </c>
      <c r="D511" s="111"/>
      <c r="E511" s="111"/>
      <c r="F511" s="111"/>
      <c r="G511" s="111"/>
      <c r="H511" s="111"/>
      <c r="I511" s="112">
        <f>K511/E510</f>
        <v>21225.83</v>
      </c>
      <c r="J511" s="112"/>
      <c r="K511" s="112">
        <f>L510</f>
        <v>84903.32</v>
      </c>
      <c r="L511" s="112"/>
      <c r="AD511">
        <f>ROUND((Source!AT304/100)*((ROUND(ROUND(Source!AO304,2)*Source!I304, 2)+ROUND(ROUND(Source!AN304,2)*Source!I304, 2))), 2)</f>
        <v>0</v>
      </c>
      <c r="AE511">
        <f>ROUND((Source!AU304/100)*((ROUND(ROUND(Source!AO304,2)*Source!I304, 2)+ROUND(ROUND(Source!AN304,2)*Source!I304, 2))), 2)</f>
        <v>0</v>
      </c>
      <c r="AN511" s="56">
        <f>L510</f>
        <v>84903.32</v>
      </c>
      <c r="AO511">
        <f>0</f>
        <v>0</v>
      </c>
      <c r="AQ511" t="s">
        <v>495</v>
      </c>
      <c r="AR511">
        <f>0</f>
        <v>0</v>
      </c>
      <c r="AT511">
        <f>0</f>
        <v>0</v>
      </c>
      <c r="AV511" t="s">
        <v>495</v>
      </c>
      <c r="AW511" s="56">
        <f>L510</f>
        <v>84903.32</v>
      </c>
      <c r="AZ511">
        <f>Source!X304</f>
        <v>0</v>
      </c>
      <c r="BA511">
        <f>Source!Y304</f>
        <v>0</v>
      </c>
      <c r="CD511">
        <v>1</v>
      </c>
    </row>
    <row r="512" spans="1:82" ht="14.25">
      <c r="A512" s="65" t="s">
        <v>213</v>
      </c>
      <c r="B512" s="50" t="str">
        <f>Source!F305</f>
        <v>цена поставщика</v>
      </c>
      <c r="C512" s="50" t="str">
        <f>Source!G305</f>
        <v>Трансформатор тока:Т-0,66</v>
      </c>
      <c r="D512" s="51" t="str">
        <f>Source!H305</f>
        <v>ШТ</v>
      </c>
      <c r="E512" s="52">
        <f>Source!K305</f>
        <v>12</v>
      </c>
      <c r="F512" s="53"/>
      <c r="G512" s="52">
        <f>Source!I305</f>
        <v>12</v>
      </c>
      <c r="H512" s="54">
        <f>Source!AL305</f>
        <v>1158.33</v>
      </c>
      <c r="I512" s="55"/>
      <c r="J512" s="54"/>
      <c r="K512" s="50"/>
      <c r="L512" s="54">
        <f>Source!P305</f>
        <v>13899.96</v>
      </c>
    </row>
    <row r="513" spans="1:82" ht="15">
      <c r="C513" s="111" t="s">
        <v>494</v>
      </c>
      <c r="D513" s="111"/>
      <c r="E513" s="111"/>
      <c r="F513" s="111"/>
      <c r="G513" s="111"/>
      <c r="H513" s="111"/>
      <c r="I513" s="112">
        <f>K513/E512</f>
        <v>1158.33</v>
      </c>
      <c r="J513" s="112"/>
      <c r="K513" s="112">
        <f>L512</f>
        <v>13899.96</v>
      </c>
      <c r="L513" s="112"/>
      <c r="AD513">
        <f>ROUND((Source!AT305/100)*((ROUND(ROUND(Source!AO305,2)*Source!I305, 2)+ROUND(ROUND(Source!AN305,2)*Source!I305, 2))), 2)</f>
        <v>0</v>
      </c>
      <c r="AE513">
        <f>ROUND((Source!AU305/100)*((ROUND(ROUND(Source!AO305,2)*Source!I305, 2)+ROUND(ROUND(Source!AN305,2)*Source!I305, 2))), 2)</f>
        <v>0</v>
      </c>
      <c r="AN513" s="56">
        <f>L512</f>
        <v>13899.96</v>
      </c>
      <c r="AO513">
        <f>0</f>
        <v>0</v>
      </c>
      <c r="AQ513" t="s">
        <v>495</v>
      </c>
      <c r="AR513">
        <f>0</f>
        <v>0</v>
      </c>
      <c r="AT513">
        <f>0</f>
        <v>0</v>
      </c>
      <c r="AV513" t="s">
        <v>495</v>
      </c>
      <c r="AW513" s="56">
        <f>L512</f>
        <v>13899.96</v>
      </c>
      <c r="AZ513">
        <f>Source!X305</f>
        <v>0</v>
      </c>
      <c r="BA513">
        <f>Source!Y305</f>
        <v>0</v>
      </c>
      <c r="CD513">
        <v>1</v>
      </c>
    </row>
    <row r="514" spans="1:82" ht="14.25">
      <c r="A514" s="65" t="s">
        <v>215</v>
      </c>
      <c r="B514" s="50" t="str">
        <f>Source!F306</f>
        <v>цена поставщика</v>
      </c>
      <c r="C514" s="50" t="str">
        <f>Source!G306</f>
        <v>Коробка клеммная испытательная ИКК</v>
      </c>
      <c r="D514" s="51" t="str">
        <f>Source!H306</f>
        <v>ШТ</v>
      </c>
      <c r="E514" s="52">
        <f>Source!K306</f>
        <v>8</v>
      </c>
      <c r="F514" s="53"/>
      <c r="G514" s="52">
        <f>Source!I306</f>
        <v>8</v>
      </c>
      <c r="H514" s="54">
        <f>Source!AL306</f>
        <v>243.33</v>
      </c>
      <c r="I514" s="55"/>
      <c r="J514" s="54"/>
      <c r="K514" s="50"/>
      <c r="L514" s="54">
        <f>Source!P306</f>
        <v>1946.64</v>
      </c>
    </row>
    <row r="515" spans="1:82" ht="15">
      <c r="C515" s="111" t="s">
        <v>494</v>
      </c>
      <c r="D515" s="111"/>
      <c r="E515" s="111"/>
      <c r="F515" s="111"/>
      <c r="G515" s="111"/>
      <c r="H515" s="111"/>
      <c r="I515" s="112">
        <f>K515/E514</f>
        <v>243.33</v>
      </c>
      <c r="J515" s="112"/>
      <c r="K515" s="112">
        <f>L514</f>
        <v>1946.64</v>
      </c>
      <c r="L515" s="112"/>
      <c r="AD515">
        <f>ROUND((Source!AT306/100)*((ROUND(ROUND(Source!AO306,2)*Source!I306, 2)+ROUND(ROUND(Source!AN306,2)*Source!I306, 2))), 2)</f>
        <v>0</v>
      </c>
      <c r="AE515">
        <f>ROUND((Source!AU306/100)*((ROUND(ROUND(Source!AO306,2)*Source!I306, 2)+ROUND(ROUND(Source!AN306,2)*Source!I306, 2))), 2)</f>
        <v>0</v>
      </c>
      <c r="AN515" s="56">
        <f>L514</f>
        <v>1946.64</v>
      </c>
      <c r="AO515">
        <f>0</f>
        <v>0</v>
      </c>
      <c r="AQ515" t="s">
        <v>495</v>
      </c>
      <c r="AR515">
        <f>0</f>
        <v>0</v>
      </c>
      <c r="AT515">
        <f>0</f>
        <v>0</v>
      </c>
      <c r="AV515" t="s">
        <v>495</v>
      </c>
      <c r="AW515" s="56">
        <f>L514</f>
        <v>1946.64</v>
      </c>
      <c r="AZ515">
        <f>Source!X306</f>
        <v>0</v>
      </c>
      <c r="BA515">
        <f>Source!Y306</f>
        <v>0</v>
      </c>
      <c r="CD515">
        <v>1</v>
      </c>
    </row>
    <row r="516" spans="1:82" ht="42.75">
      <c r="A516" s="65" t="s">
        <v>217</v>
      </c>
      <c r="B516" s="50" t="str">
        <f>Source!F307</f>
        <v>цена поставщика</v>
      </c>
      <c r="C516" s="50" t="str">
        <f>Source!G307</f>
        <v>Выключатели автоматические:«IEK» ВА47-29 3Р 10А, характеристика С (прим.)</v>
      </c>
      <c r="D516" s="51" t="str">
        <f>Source!H307</f>
        <v>ШТ</v>
      </c>
      <c r="E516" s="52">
        <f>Source!K307</f>
        <v>1</v>
      </c>
      <c r="F516" s="53"/>
      <c r="G516" s="52">
        <f>Source!I307</f>
        <v>1</v>
      </c>
      <c r="H516" s="54">
        <f>Source!AL307</f>
        <v>557.5</v>
      </c>
      <c r="I516" s="55"/>
      <c r="J516" s="54"/>
      <c r="K516" s="50"/>
      <c r="L516" s="54">
        <f>Source!P307</f>
        <v>557.5</v>
      </c>
    </row>
    <row r="517" spans="1:82" ht="15">
      <c r="C517" s="111" t="s">
        <v>494</v>
      </c>
      <c r="D517" s="111"/>
      <c r="E517" s="111"/>
      <c r="F517" s="111"/>
      <c r="G517" s="111"/>
      <c r="H517" s="111"/>
      <c r="I517" s="112">
        <f>K517/E516</f>
        <v>557.5</v>
      </c>
      <c r="J517" s="112"/>
      <c r="K517" s="112">
        <f>L516</f>
        <v>557.5</v>
      </c>
      <c r="L517" s="112"/>
      <c r="AD517">
        <f>ROUND((Source!AT307/100)*((ROUND(ROUND(Source!AO307,2)*Source!I307, 2)+ROUND(ROUND(Source!AN307,2)*Source!I307, 2))), 2)</f>
        <v>0</v>
      </c>
      <c r="AE517">
        <f>ROUND((Source!AU307/100)*((ROUND(ROUND(Source!AO307,2)*Source!I307, 2)+ROUND(ROUND(Source!AN307,2)*Source!I307, 2))), 2)</f>
        <v>0</v>
      </c>
      <c r="AN517" s="56">
        <f>L516</f>
        <v>557.5</v>
      </c>
      <c r="AO517">
        <f>0</f>
        <v>0</v>
      </c>
      <c r="AQ517" t="s">
        <v>495</v>
      </c>
      <c r="AR517">
        <f>0</f>
        <v>0</v>
      </c>
      <c r="AT517">
        <f>0</f>
        <v>0</v>
      </c>
      <c r="AV517" t="s">
        <v>495</v>
      </c>
      <c r="AW517" s="56">
        <f>L516</f>
        <v>557.5</v>
      </c>
      <c r="AZ517">
        <f>Source!X307</f>
        <v>0</v>
      </c>
      <c r="BA517">
        <f>Source!Y307</f>
        <v>0</v>
      </c>
      <c r="CD517">
        <v>1</v>
      </c>
    </row>
    <row r="518" spans="1:82" ht="14.25">
      <c r="A518" s="65" t="s">
        <v>219</v>
      </c>
      <c r="B518" s="50" t="str">
        <f>Source!F308</f>
        <v>цена поставщика</v>
      </c>
      <c r="C518" s="50" t="str">
        <f>Source!G308</f>
        <v>Гофротруба</v>
      </c>
      <c r="D518" s="51" t="str">
        <f>Source!H308</f>
        <v>м</v>
      </c>
      <c r="E518" s="52">
        <f>Source!K308</f>
        <v>25</v>
      </c>
      <c r="F518" s="53"/>
      <c r="G518" s="52">
        <f>Source!I308</f>
        <v>25</v>
      </c>
      <c r="H518" s="54">
        <f>Source!AL308</f>
        <v>21.67</v>
      </c>
      <c r="I518" s="55"/>
      <c r="J518" s="54"/>
      <c r="K518" s="50"/>
      <c r="L518" s="54">
        <f>Source!P308</f>
        <v>541.75</v>
      </c>
    </row>
    <row r="519" spans="1:82" ht="15">
      <c r="C519" s="111" t="s">
        <v>494</v>
      </c>
      <c r="D519" s="111"/>
      <c r="E519" s="111"/>
      <c r="F519" s="111"/>
      <c r="G519" s="111"/>
      <c r="H519" s="111"/>
      <c r="I519" s="112">
        <f>K519/E518</f>
        <v>21.67</v>
      </c>
      <c r="J519" s="112"/>
      <c r="K519" s="112">
        <f>L518</f>
        <v>541.75</v>
      </c>
      <c r="L519" s="112"/>
      <c r="AD519">
        <f>ROUND((Source!AT308/100)*((ROUND(ROUND(Source!AO308,2)*Source!I308, 2)+ROUND(ROUND(Source!AN308,2)*Source!I308, 2))), 2)</f>
        <v>0</v>
      </c>
      <c r="AE519">
        <f>ROUND((Source!AU308/100)*((ROUND(ROUND(Source!AO308,2)*Source!I308, 2)+ROUND(ROUND(Source!AN308,2)*Source!I308, 2))), 2)</f>
        <v>0</v>
      </c>
      <c r="AN519" s="56">
        <f>L518</f>
        <v>541.75</v>
      </c>
      <c r="AO519">
        <f>0</f>
        <v>0</v>
      </c>
      <c r="AQ519" t="s">
        <v>495</v>
      </c>
      <c r="AR519">
        <f>0</f>
        <v>0</v>
      </c>
      <c r="AT519">
        <f>0</f>
        <v>0</v>
      </c>
      <c r="AV519" t="s">
        <v>495</v>
      </c>
      <c r="AW519" s="56">
        <f>L518</f>
        <v>541.75</v>
      </c>
      <c r="AZ519">
        <f>Source!X308</f>
        <v>0</v>
      </c>
      <c r="BA519">
        <f>Source!Y308</f>
        <v>0</v>
      </c>
      <c r="CD519">
        <v>1</v>
      </c>
    </row>
    <row r="520" spans="1:82" ht="14.25">
      <c r="A520" s="65" t="s">
        <v>221</v>
      </c>
      <c r="B520" s="50" t="str">
        <f>Source!F309</f>
        <v>цена поставщика</v>
      </c>
      <c r="C520" s="50" t="str">
        <f>Source!G309</f>
        <v>Кабель КВВГ 10*1,5 мм2</v>
      </c>
      <c r="D520" s="51" t="str">
        <f>Source!H309</f>
        <v>м</v>
      </c>
      <c r="E520" s="52">
        <f>Source!K309</f>
        <v>20</v>
      </c>
      <c r="F520" s="53"/>
      <c r="G520" s="52">
        <f>Source!I309</f>
        <v>20</v>
      </c>
      <c r="H520" s="54">
        <f>Source!AL309</f>
        <v>195.83</v>
      </c>
      <c r="I520" s="55"/>
      <c r="J520" s="54"/>
      <c r="K520" s="50"/>
      <c r="L520" s="54">
        <f>Source!P309</f>
        <v>3916.6</v>
      </c>
    </row>
    <row r="521" spans="1:82" ht="15">
      <c r="C521" s="111" t="s">
        <v>494</v>
      </c>
      <c r="D521" s="111"/>
      <c r="E521" s="111"/>
      <c r="F521" s="111"/>
      <c r="G521" s="111"/>
      <c r="H521" s="111"/>
      <c r="I521" s="112">
        <f>K521/E520</f>
        <v>195.82999999999998</v>
      </c>
      <c r="J521" s="112"/>
      <c r="K521" s="112">
        <f>L520</f>
        <v>3916.6</v>
      </c>
      <c r="L521" s="112"/>
      <c r="AD521">
        <f>ROUND((Source!AT309/100)*((ROUND(ROUND(Source!AO309,2)*Source!I309, 2)+ROUND(ROUND(Source!AN309,2)*Source!I309, 2))), 2)</f>
        <v>0</v>
      </c>
      <c r="AE521">
        <f>ROUND((Source!AU309/100)*((ROUND(ROUND(Source!AO309,2)*Source!I309, 2)+ROUND(ROUND(Source!AN309,2)*Source!I309, 2))), 2)</f>
        <v>0</v>
      </c>
      <c r="AN521" s="56">
        <f>L520</f>
        <v>3916.6</v>
      </c>
      <c r="AO521">
        <f>0</f>
        <v>0</v>
      </c>
      <c r="AQ521" t="s">
        <v>495</v>
      </c>
      <c r="AR521">
        <f>0</f>
        <v>0</v>
      </c>
      <c r="AT521">
        <f>0</f>
        <v>0</v>
      </c>
      <c r="AV521" t="s">
        <v>495</v>
      </c>
      <c r="AW521" s="56">
        <f>L520</f>
        <v>3916.6</v>
      </c>
      <c r="AZ521">
        <f>Source!X309</f>
        <v>0</v>
      </c>
      <c r="BA521">
        <f>Source!Y309</f>
        <v>0</v>
      </c>
      <c r="CD521">
        <v>1</v>
      </c>
    </row>
    <row r="522" spans="1:82" ht="14.25">
      <c r="A522" s="65" t="s">
        <v>223</v>
      </c>
      <c r="B522" s="50" t="str">
        <f>Source!F310</f>
        <v>цена поставщика</v>
      </c>
      <c r="C522" s="50" t="str">
        <f>Source!G310</f>
        <v>Кабель ВВГнг 4*1,5 мм2</v>
      </c>
      <c r="D522" s="51" t="str">
        <f>Source!H310</f>
        <v>м</v>
      </c>
      <c r="E522" s="52">
        <f>Source!K310</f>
        <v>5</v>
      </c>
      <c r="F522" s="53"/>
      <c r="G522" s="52">
        <f>Source!I310</f>
        <v>5</v>
      </c>
      <c r="H522" s="54">
        <f>Source!AL310</f>
        <v>70</v>
      </c>
      <c r="I522" s="55"/>
      <c r="J522" s="54"/>
      <c r="K522" s="50"/>
      <c r="L522" s="54">
        <f>Source!P310</f>
        <v>350</v>
      </c>
    </row>
    <row r="523" spans="1:82" ht="15">
      <c r="C523" s="111" t="s">
        <v>494</v>
      </c>
      <c r="D523" s="111"/>
      <c r="E523" s="111"/>
      <c r="F523" s="111"/>
      <c r="G523" s="111"/>
      <c r="H523" s="111"/>
      <c r="I523" s="112">
        <f>K523/E522</f>
        <v>70</v>
      </c>
      <c r="J523" s="112"/>
      <c r="K523" s="112">
        <f>L522</f>
        <v>350</v>
      </c>
      <c r="L523" s="112"/>
      <c r="AD523">
        <f>ROUND((Source!AT310/100)*((ROUND(ROUND(Source!AO310,2)*Source!I310, 2)+ROUND(ROUND(Source!AN310,2)*Source!I310, 2))), 2)</f>
        <v>0</v>
      </c>
      <c r="AE523">
        <f>ROUND((Source!AU310/100)*((ROUND(ROUND(Source!AO310,2)*Source!I310, 2)+ROUND(ROUND(Source!AN310,2)*Source!I310, 2))), 2)</f>
        <v>0</v>
      </c>
      <c r="AN523" s="56">
        <f>L522</f>
        <v>350</v>
      </c>
      <c r="AO523">
        <f>0</f>
        <v>0</v>
      </c>
      <c r="AQ523" t="s">
        <v>495</v>
      </c>
      <c r="AR523">
        <f>0</f>
        <v>0</v>
      </c>
      <c r="AT523">
        <f>0</f>
        <v>0</v>
      </c>
      <c r="AV523" t="s">
        <v>495</v>
      </c>
      <c r="AW523" s="56">
        <f>L522</f>
        <v>350</v>
      </c>
      <c r="AZ523">
        <f>Source!X310</f>
        <v>0</v>
      </c>
      <c r="BA523">
        <f>Source!Y310</f>
        <v>0</v>
      </c>
      <c r="CD523">
        <v>1</v>
      </c>
    </row>
    <row r="525" spans="1:82" ht="15">
      <c r="A525" s="62"/>
      <c r="B525" s="63"/>
      <c r="C525" s="129" t="s">
        <v>501</v>
      </c>
      <c r="D525" s="129"/>
      <c r="E525" s="129"/>
      <c r="F525" s="129"/>
      <c r="G525" s="129"/>
      <c r="H525" s="129"/>
      <c r="I525" s="49"/>
      <c r="J525" s="62"/>
      <c r="K525" s="64"/>
      <c r="L525" s="49">
        <f>L527+L528+L534+L538</f>
        <v>192126.60000000003</v>
      </c>
    </row>
    <row r="526" spans="1:82" ht="14.25">
      <c r="A526" s="59"/>
      <c r="B526" s="61"/>
      <c r="C526" s="128" t="s">
        <v>502</v>
      </c>
      <c r="D526" s="127"/>
      <c r="E526" s="127"/>
      <c r="F526" s="127"/>
      <c r="G526" s="127"/>
      <c r="H526" s="127"/>
      <c r="I526" s="48"/>
      <c r="J526" s="59"/>
      <c r="K526" s="45"/>
      <c r="L526" s="48"/>
    </row>
    <row r="527" spans="1:82" ht="14.25" hidden="1">
      <c r="A527" s="59"/>
      <c r="B527" s="61"/>
      <c r="C527" s="127" t="s">
        <v>503</v>
      </c>
      <c r="D527" s="127"/>
      <c r="E527" s="127"/>
      <c r="F527" s="127"/>
      <c r="G527" s="127"/>
      <c r="H527" s="127"/>
      <c r="I527" s="48"/>
      <c r="J527" s="59"/>
      <c r="K527" s="45"/>
      <c r="L527" s="48">
        <f>SUM(AR505:AR523)</f>
        <v>0</v>
      </c>
    </row>
    <row r="528" spans="1:82" ht="14.25" hidden="1">
      <c r="A528" s="59"/>
      <c r="B528" s="61"/>
      <c r="C528" s="127" t="s">
        <v>504</v>
      </c>
      <c r="D528" s="127"/>
      <c r="E528" s="127"/>
      <c r="F528" s="127"/>
      <c r="G528" s="127"/>
      <c r="H528" s="127"/>
      <c r="I528" s="48"/>
      <c r="J528" s="59"/>
      <c r="K528" s="45"/>
      <c r="L528" s="48">
        <f>L530+L533+L532</f>
        <v>0</v>
      </c>
    </row>
    <row r="529" spans="1:12" ht="14.25" hidden="1">
      <c r="A529" s="59"/>
      <c r="B529" s="61"/>
      <c r="C529" s="128" t="s">
        <v>505</v>
      </c>
      <c r="D529" s="127"/>
      <c r="E529" s="127"/>
      <c r="F529" s="127"/>
      <c r="G529" s="127"/>
      <c r="H529" s="127"/>
      <c r="I529" s="48"/>
      <c r="J529" s="59"/>
      <c r="K529" s="45"/>
      <c r="L529" s="48"/>
    </row>
    <row r="530" spans="1:12" ht="14.25" hidden="1">
      <c r="A530" s="59"/>
      <c r="B530" s="61"/>
      <c r="C530" s="127" t="s">
        <v>504</v>
      </c>
      <c r="D530" s="127"/>
      <c r="E530" s="127"/>
      <c r="F530" s="127"/>
      <c r="G530" s="127"/>
      <c r="H530" s="127"/>
      <c r="I530" s="48"/>
      <c r="J530" s="59"/>
      <c r="K530" s="45"/>
      <c r="L530" s="48">
        <f>SUM(AO505:AO523)</f>
        <v>0</v>
      </c>
    </row>
    <row r="531" spans="1:12" ht="14.25" hidden="1">
      <c r="A531" s="59"/>
      <c r="B531" s="61"/>
      <c r="C531" s="128" t="s">
        <v>506</v>
      </c>
      <c r="D531" s="127"/>
      <c r="E531" s="127"/>
      <c r="F531" s="127"/>
      <c r="G531" s="127"/>
      <c r="H531" s="127"/>
      <c r="I531" s="48"/>
      <c r="J531" s="59"/>
      <c r="K531" s="45"/>
      <c r="L531" s="48"/>
    </row>
    <row r="532" spans="1:12" ht="14.25" hidden="1">
      <c r="A532" s="59"/>
      <c r="B532" s="61"/>
      <c r="C532" s="127" t="s">
        <v>526</v>
      </c>
      <c r="D532" s="127"/>
      <c r="E532" s="127"/>
      <c r="F532" s="127"/>
      <c r="G532" s="127"/>
      <c r="H532" s="127"/>
      <c r="I532" s="48"/>
      <c r="J532" s="59"/>
      <c r="K532" s="45"/>
      <c r="L532" s="48">
        <f>SUM(AT505:AT523)</f>
        <v>0</v>
      </c>
    </row>
    <row r="533" spans="1:12" ht="14.25" hidden="1">
      <c r="A533" s="59"/>
      <c r="B533" s="61"/>
      <c r="C533" s="127" t="s">
        <v>507</v>
      </c>
      <c r="D533" s="127"/>
      <c r="E533" s="127"/>
      <c r="F533" s="127"/>
      <c r="G533" s="127"/>
      <c r="H533" s="127"/>
      <c r="I533" s="48"/>
      <c r="J533" s="59"/>
      <c r="K533" s="45"/>
      <c r="L533" s="48">
        <f>SUM(AV505:AV523)</f>
        <v>0</v>
      </c>
    </row>
    <row r="534" spans="1:12" ht="14.25">
      <c r="A534" s="59"/>
      <c r="B534" s="61"/>
      <c r="C534" s="127" t="s">
        <v>508</v>
      </c>
      <c r="D534" s="127"/>
      <c r="E534" s="127"/>
      <c r="F534" s="127"/>
      <c r="G534" s="127"/>
      <c r="H534" s="127"/>
      <c r="I534" s="48"/>
      <c r="J534" s="59"/>
      <c r="K534" s="45"/>
      <c r="L534" s="48">
        <f>L536+L537</f>
        <v>192126.60000000003</v>
      </c>
    </row>
    <row r="535" spans="1:12" ht="14.25">
      <c r="A535" s="59"/>
      <c r="B535" s="61"/>
      <c r="C535" s="128" t="s">
        <v>505</v>
      </c>
      <c r="D535" s="127"/>
      <c r="E535" s="127"/>
      <c r="F535" s="127"/>
      <c r="G535" s="127"/>
      <c r="H535" s="127"/>
      <c r="I535" s="48"/>
      <c r="J535" s="59"/>
      <c r="K535" s="45"/>
      <c r="L535" s="48"/>
    </row>
    <row r="536" spans="1:12" ht="14.25">
      <c r="A536" s="59"/>
      <c r="B536" s="61"/>
      <c r="C536" s="127" t="s">
        <v>509</v>
      </c>
      <c r="D536" s="127"/>
      <c r="E536" s="127"/>
      <c r="F536" s="127"/>
      <c r="G536" s="127"/>
      <c r="H536" s="127"/>
      <c r="I536" s="48"/>
      <c r="J536" s="59"/>
      <c r="K536" s="45"/>
      <c r="L536" s="48">
        <f>SUM(AW505:AW523)-SUM(BK505:BK523)</f>
        <v>192126.60000000003</v>
      </c>
    </row>
    <row r="537" spans="1:12" ht="14.25" hidden="1">
      <c r="A537" s="59"/>
      <c r="B537" s="61"/>
      <c r="C537" s="127" t="s">
        <v>510</v>
      </c>
      <c r="D537" s="127"/>
      <c r="E537" s="127"/>
      <c r="F537" s="127"/>
      <c r="G537" s="127"/>
      <c r="H537" s="127"/>
      <c r="I537" s="48"/>
      <c r="J537" s="59"/>
      <c r="K537" s="45"/>
      <c r="L537" s="48">
        <f>SUM(BC505:BC523)</f>
        <v>0</v>
      </c>
    </row>
    <row r="538" spans="1:12" ht="14.25" hidden="1">
      <c r="A538" s="59"/>
      <c r="B538" s="61"/>
      <c r="C538" s="127" t="s">
        <v>511</v>
      </c>
      <c r="D538" s="127"/>
      <c r="E538" s="127"/>
      <c r="F538" s="127"/>
      <c r="G538" s="127"/>
      <c r="H538" s="127"/>
      <c r="I538" s="48"/>
      <c r="J538" s="59"/>
      <c r="K538" s="45"/>
      <c r="L538" s="48">
        <f>SUM(BB505:BB523)</f>
        <v>0</v>
      </c>
    </row>
    <row r="539" spans="1:12" ht="14.25" hidden="1">
      <c r="A539" s="59"/>
      <c r="B539" s="61"/>
      <c r="C539" s="127" t="s">
        <v>512</v>
      </c>
      <c r="D539" s="127"/>
      <c r="E539" s="127"/>
      <c r="F539" s="127"/>
      <c r="G539" s="127"/>
      <c r="H539" s="127"/>
      <c r="I539" s="48"/>
      <c r="J539" s="59"/>
      <c r="K539" s="45"/>
      <c r="L539" s="48">
        <f>SUM(AR505:AR523)+SUM(AT505:AT523)+SUM(AV505:AV523)</f>
        <v>0</v>
      </c>
    </row>
    <row r="540" spans="1:12" ht="14.25" hidden="1">
      <c r="A540" s="59"/>
      <c r="B540" s="61"/>
      <c r="C540" s="127" t="s">
        <v>513</v>
      </c>
      <c r="D540" s="127"/>
      <c r="E540" s="127"/>
      <c r="F540" s="127"/>
      <c r="G540" s="127"/>
      <c r="H540" s="127"/>
      <c r="I540" s="48"/>
      <c r="J540" s="59"/>
      <c r="K540" s="45"/>
      <c r="L540" s="48">
        <f>SUM(AZ505:AZ523)</f>
        <v>0</v>
      </c>
    </row>
    <row r="541" spans="1:12" ht="14.25" hidden="1">
      <c r="A541" s="59"/>
      <c r="B541" s="61"/>
      <c r="C541" s="127" t="s">
        <v>514</v>
      </c>
      <c r="D541" s="127"/>
      <c r="E541" s="127"/>
      <c r="F541" s="127"/>
      <c r="G541" s="127"/>
      <c r="H541" s="127"/>
      <c r="I541" s="48"/>
      <c r="J541" s="59"/>
      <c r="K541" s="45"/>
      <c r="L541" s="48">
        <f>SUM(BA505:BA523)</f>
        <v>0</v>
      </c>
    </row>
    <row r="542" spans="1:12" ht="14.25" hidden="1">
      <c r="A542" s="59"/>
      <c r="B542" s="61"/>
      <c r="C542" s="127" t="s">
        <v>515</v>
      </c>
      <c r="D542" s="127"/>
      <c r="E542" s="127"/>
      <c r="F542" s="127"/>
      <c r="G542" s="127"/>
      <c r="H542" s="127"/>
      <c r="I542" s="48"/>
      <c r="J542" s="59"/>
      <c r="K542" s="45"/>
      <c r="L542" s="48">
        <f>L544+L545</f>
        <v>0</v>
      </c>
    </row>
    <row r="543" spans="1:12" ht="14.25" hidden="1">
      <c r="A543" s="59"/>
      <c r="B543" s="61"/>
      <c r="C543" s="128" t="s">
        <v>502</v>
      </c>
      <c r="D543" s="127"/>
      <c r="E543" s="127"/>
      <c r="F543" s="127"/>
      <c r="G543" s="127"/>
      <c r="H543" s="127"/>
      <c r="I543" s="48"/>
      <c r="J543" s="59"/>
      <c r="K543" s="45"/>
      <c r="L543" s="48"/>
    </row>
    <row r="544" spans="1:12" ht="14.25" hidden="1">
      <c r="A544" s="59"/>
      <c r="B544" s="61"/>
      <c r="C544" s="127" t="s">
        <v>516</v>
      </c>
      <c r="D544" s="127"/>
      <c r="E544" s="127"/>
      <c r="F544" s="127"/>
      <c r="G544" s="127"/>
      <c r="H544" s="127"/>
      <c r="I544" s="48"/>
      <c r="J544" s="59"/>
      <c r="K544" s="45"/>
      <c r="L544" s="48">
        <f>SUM(BK505:BK523)</f>
        <v>0</v>
      </c>
    </row>
    <row r="545" spans="1:12" ht="14.25" hidden="1">
      <c r="A545" s="59"/>
      <c r="B545" s="61"/>
      <c r="C545" s="127" t="s">
        <v>517</v>
      </c>
      <c r="D545" s="127"/>
      <c r="E545" s="127"/>
      <c r="F545" s="127"/>
      <c r="G545" s="127"/>
      <c r="H545" s="127"/>
      <c r="I545" s="48"/>
      <c r="J545" s="59"/>
      <c r="K545" s="45"/>
      <c r="L545" s="48">
        <f>SUM(BD505:BD523)</f>
        <v>0</v>
      </c>
    </row>
    <row r="546" spans="1:12" ht="14.25" hidden="1">
      <c r="A546" s="59"/>
      <c r="B546" s="61"/>
      <c r="C546" s="127" t="s">
        <v>518</v>
      </c>
      <c r="D546" s="127"/>
      <c r="E546" s="127"/>
      <c r="F546" s="127"/>
      <c r="G546" s="127"/>
      <c r="H546" s="127"/>
      <c r="I546" s="48"/>
      <c r="J546" s="59"/>
      <c r="K546" s="45"/>
      <c r="L546" s="48"/>
    </row>
    <row r="547" spans="1:12" ht="14.25" hidden="1">
      <c r="A547" s="59"/>
      <c r="B547" s="61"/>
      <c r="C547" s="127" t="s">
        <v>519</v>
      </c>
      <c r="D547" s="127"/>
      <c r="E547" s="127"/>
      <c r="F547" s="127"/>
      <c r="G547" s="127"/>
      <c r="H547" s="127"/>
      <c r="I547" s="48"/>
      <c r="J547" s="59"/>
      <c r="K547" s="45"/>
      <c r="L547" s="48">
        <f>SUM(BO505:BO523)</f>
        <v>0</v>
      </c>
    </row>
    <row r="548" spans="1:12" ht="15">
      <c r="A548" s="62"/>
      <c r="B548" s="63"/>
      <c r="C548" s="129" t="s">
        <v>520</v>
      </c>
      <c r="D548" s="129"/>
      <c r="E548" s="129"/>
      <c r="F548" s="129"/>
      <c r="G548" s="129"/>
      <c r="H548" s="129"/>
      <c r="I548" s="49"/>
      <c r="J548" s="62"/>
      <c r="K548" s="64"/>
      <c r="L548" s="49">
        <f>L525+L540+L541+L542+L546+L547</f>
        <v>192126.60000000003</v>
      </c>
    </row>
    <row r="549" spans="1:12" ht="14.25" hidden="1">
      <c r="A549" s="59"/>
      <c r="B549" s="61"/>
      <c r="C549" s="128" t="s">
        <v>521</v>
      </c>
      <c r="D549" s="127"/>
      <c r="E549" s="127"/>
      <c r="F549" s="127"/>
      <c r="G549" s="127"/>
      <c r="H549" s="127"/>
      <c r="I549" s="48"/>
      <c r="J549" s="59"/>
      <c r="K549" s="45"/>
      <c r="L549" s="48"/>
    </row>
    <row r="550" spans="1:12" ht="14.25" hidden="1">
      <c r="A550" s="59"/>
      <c r="B550" s="61"/>
      <c r="C550" s="127" t="s">
        <v>522</v>
      </c>
      <c r="D550" s="127"/>
      <c r="E550" s="127"/>
      <c r="F550" s="127"/>
      <c r="G550" s="127"/>
      <c r="H550" s="127"/>
      <c r="I550" s="48"/>
      <c r="J550" s="59"/>
      <c r="K550" s="45"/>
      <c r="L550" s="48">
        <f>SUM(AX505:AX523)</f>
        <v>0</v>
      </c>
    </row>
    <row r="551" spans="1:12" ht="14.25" hidden="1">
      <c r="A551" s="59"/>
      <c r="B551" s="61"/>
      <c r="C551" s="127" t="s">
        <v>523</v>
      </c>
      <c r="D551" s="127"/>
      <c r="E551" s="127"/>
      <c r="F551" s="127"/>
      <c r="G551" s="127"/>
      <c r="H551" s="127"/>
      <c r="I551" s="48"/>
      <c r="J551" s="59"/>
      <c r="K551" s="45"/>
      <c r="L551" s="48">
        <f>SUM(AY505:AY523)</f>
        <v>0</v>
      </c>
    </row>
    <row r="552" spans="1:12" ht="14.25" hidden="1" customHeight="1">
      <c r="A552" s="59"/>
      <c r="B552" s="61"/>
      <c r="C552" s="127" t="s">
        <v>524</v>
      </c>
      <c r="D552" s="127"/>
      <c r="E552" s="127"/>
      <c r="F552" s="130"/>
      <c r="G552" s="47">
        <f>Source!F334</f>
        <v>0</v>
      </c>
      <c r="H552" s="59"/>
      <c r="I552" s="59"/>
      <c r="J552" s="59"/>
      <c r="K552" s="59"/>
      <c r="L552" s="59"/>
    </row>
    <row r="553" spans="1:12" ht="14.25" hidden="1" customHeight="1">
      <c r="A553" s="59"/>
      <c r="B553" s="61"/>
      <c r="C553" s="127" t="s">
        <v>525</v>
      </c>
      <c r="D553" s="127"/>
      <c r="E553" s="127"/>
      <c r="F553" s="130"/>
      <c r="G553" s="47">
        <f>Source!F335</f>
        <v>0</v>
      </c>
      <c r="H553" s="59"/>
      <c r="I553" s="59"/>
      <c r="J553" s="59"/>
      <c r="K553" s="59"/>
      <c r="L553" s="59"/>
    </row>
    <row r="555" spans="1:12" ht="14.25">
      <c r="C555" s="131" t="str">
        <f>Source!H351</f>
        <v>НДС 20%</v>
      </c>
      <c r="D555" s="131"/>
      <c r="E555" s="131"/>
      <c r="F555" s="131"/>
      <c r="G555" s="131"/>
      <c r="H555" s="131"/>
      <c r="I555" s="131"/>
      <c r="J555" s="131"/>
      <c r="K555" s="131"/>
      <c r="L555" s="57">
        <f>IF(Source!Y351=0, "", Source!Y351)</f>
        <v>38425.32</v>
      </c>
    </row>
    <row r="556" spans="1:12" ht="14.25">
      <c r="C556" s="131" t="str">
        <f>Source!H352</f>
        <v>ИТОГО с НДС</v>
      </c>
      <c r="D556" s="131"/>
      <c r="E556" s="131"/>
      <c r="F556" s="131"/>
      <c r="G556" s="131"/>
      <c r="H556" s="131"/>
      <c r="I556" s="131"/>
      <c r="J556" s="131"/>
      <c r="K556" s="131"/>
      <c r="L556" s="57">
        <f>IF(Source!Y352=0, "", Source!Y352)</f>
        <v>230551.92</v>
      </c>
    </row>
    <row r="558" spans="1:12" ht="16.5">
      <c r="A558" s="110" t="s">
        <v>553</v>
      </c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</row>
    <row r="559" spans="1:12" ht="57">
      <c r="A559" s="40" t="s">
        <v>226</v>
      </c>
      <c r="B559" s="42" t="s">
        <v>554</v>
      </c>
      <c r="C559" s="42" t="str">
        <f>Source!G358</f>
        <v>Выключатель автоматический постоянного тока быстродействующий напряжением свыше 1 кВ, номинальный ток: до 1000 А</v>
      </c>
      <c r="D559" s="43" t="str">
        <f>Source!H358</f>
        <v>ШТ</v>
      </c>
      <c r="E559" s="47">
        <f>Source!K358</f>
        <v>1</v>
      </c>
      <c r="F559" s="41"/>
      <c r="G559" s="47">
        <f>Source!I358</f>
        <v>1</v>
      </c>
      <c r="H559" s="48"/>
      <c r="I559" s="46"/>
      <c r="J559" s="48"/>
      <c r="K559" s="42"/>
      <c r="L559" s="48"/>
    </row>
    <row r="560" spans="1:12" ht="15">
      <c r="A560" s="41"/>
      <c r="B560" s="45">
        <v>1</v>
      </c>
      <c r="C560" s="41" t="s">
        <v>483</v>
      </c>
      <c r="D560" s="43" t="s">
        <v>321</v>
      </c>
      <c r="E560" s="47"/>
      <c r="F560" s="45"/>
      <c r="G560" s="47">
        <f>Source!U358</f>
        <v>7.2</v>
      </c>
      <c r="H560" s="45"/>
      <c r="I560" s="45"/>
      <c r="J560" s="45"/>
      <c r="K560" s="45"/>
      <c r="L560" s="49">
        <f>SUM(L561:L563)-SUMIF(CE561:CE563, 1, L561:L563)</f>
        <v>2768.69</v>
      </c>
    </row>
    <row r="561" spans="1:82" ht="14.25">
      <c r="A561" s="42"/>
      <c r="B561" s="42" t="s">
        <v>430</v>
      </c>
      <c r="C561" s="42" t="s">
        <v>431</v>
      </c>
      <c r="D561" s="43" t="s">
        <v>368</v>
      </c>
      <c r="E561" s="47">
        <v>1.44</v>
      </c>
      <c r="F561" s="41"/>
      <c r="G561" s="47">
        <f>SmtRes!CX112</f>
        <v>1.44</v>
      </c>
      <c r="H561" s="48"/>
      <c r="I561" s="46"/>
      <c r="J561" s="48">
        <f>SmtRes!CZ112</f>
        <v>303.11</v>
      </c>
      <c r="K561" s="42"/>
      <c r="L561" s="48">
        <f>SmtRes!DI112</f>
        <v>436.48</v>
      </c>
    </row>
    <row r="562" spans="1:82" ht="14.25">
      <c r="A562" s="42"/>
      <c r="B562" s="42" t="s">
        <v>432</v>
      </c>
      <c r="C562" s="42" t="s">
        <v>433</v>
      </c>
      <c r="D562" s="43" t="s">
        <v>368</v>
      </c>
      <c r="E562" s="47">
        <v>1.44</v>
      </c>
      <c r="F562" s="41"/>
      <c r="G562" s="47">
        <f>SmtRes!CX113</f>
        <v>1.44</v>
      </c>
      <c r="H562" s="48"/>
      <c r="I562" s="46"/>
      <c r="J562" s="48">
        <f>SmtRes!CZ113</f>
        <v>289.54000000000002</v>
      </c>
      <c r="K562" s="42"/>
      <c r="L562" s="48">
        <f>SmtRes!DI113</f>
        <v>416.94</v>
      </c>
    </row>
    <row r="563" spans="1:82" ht="14.25">
      <c r="A563" s="42"/>
      <c r="B563" s="42" t="s">
        <v>369</v>
      </c>
      <c r="C563" s="50" t="s">
        <v>370</v>
      </c>
      <c r="D563" s="51" t="s">
        <v>368</v>
      </c>
      <c r="E563" s="52">
        <v>4.32</v>
      </c>
      <c r="F563" s="53"/>
      <c r="G563" s="52">
        <f>SmtRes!CX114</f>
        <v>4.32</v>
      </c>
      <c r="H563" s="54"/>
      <c r="I563" s="55"/>
      <c r="J563" s="54">
        <f>SmtRes!CZ114</f>
        <v>443.35</v>
      </c>
      <c r="K563" s="50"/>
      <c r="L563" s="54">
        <f>SmtRes!DI114</f>
        <v>1915.27</v>
      </c>
    </row>
    <row r="564" spans="1:82" ht="15">
      <c r="A564" s="42"/>
      <c r="B564" s="42"/>
      <c r="C564" s="58" t="s">
        <v>489</v>
      </c>
      <c r="D564" s="43"/>
      <c r="E564" s="47"/>
      <c r="F564" s="41"/>
      <c r="G564" s="47"/>
      <c r="H564" s="48"/>
      <c r="I564" s="46"/>
      <c r="J564" s="48"/>
      <c r="K564" s="42"/>
      <c r="L564" s="48">
        <f>L560</f>
        <v>2768.69</v>
      </c>
    </row>
    <row r="565" spans="1:82" ht="14.25">
      <c r="A565" s="42"/>
      <c r="B565" s="42"/>
      <c r="C565" s="42" t="s">
        <v>491</v>
      </c>
      <c r="D565" s="43"/>
      <c r="E565" s="47"/>
      <c r="F565" s="41"/>
      <c r="G565" s="47"/>
      <c r="H565" s="48"/>
      <c r="I565" s="46"/>
      <c r="J565" s="48"/>
      <c r="K565" s="42"/>
      <c r="L565" s="48">
        <f>SUM(AR559:AR568)+SUM(AS559:AS568)+SUM(AT559:AT568)+SUM(AU559:AU568)+SUM(AV559:AV568)</f>
        <v>2768.69</v>
      </c>
    </row>
    <row r="566" spans="1:82" ht="14.25">
      <c r="A566" s="42"/>
      <c r="B566" s="42" t="s">
        <v>233</v>
      </c>
      <c r="C566" s="42" t="s">
        <v>555</v>
      </c>
      <c r="D566" s="43" t="s">
        <v>30</v>
      </c>
      <c r="E566" s="47">
        <f>Source!BZ358</f>
        <v>74</v>
      </c>
      <c r="F566" s="41"/>
      <c r="G566" s="47">
        <f>Source!AT358</f>
        <v>74</v>
      </c>
      <c r="H566" s="48"/>
      <c r="I566" s="46"/>
      <c r="J566" s="48"/>
      <c r="K566" s="42"/>
      <c r="L566" s="48">
        <f>SUM(AZ559:AZ568)</f>
        <v>2048.83</v>
      </c>
    </row>
    <row r="567" spans="1:82" ht="14.25">
      <c r="A567" s="50"/>
      <c r="B567" s="50" t="s">
        <v>234</v>
      </c>
      <c r="C567" s="50" t="s">
        <v>556</v>
      </c>
      <c r="D567" s="51" t="s">
        <v>30</v>
      </c>
      <c r="E567" s="52">
        <f>Source!CA358</f>
        <v>36</v>
      </c>
      <c r="F567" s="53"/>
      <c r="G567" s="52">
        <f>Source!AU358</f>
        <v>36</v>
      </c>
      <c r="H567" s="54"/>
      <c r="I567" s="55"/>
      <c r="J567" s="54"/>
      <c r="K567" s="50"/>
      <c r="L567" s="54">
        <f>SUM(BA559:BA568)</f>
        <v>996.73</v>
      </c>
    </row>
    <row r="568" spans="1:82" ht="15">
      <c r="C568" s="111" t="s">
        <v>494</v>
      </c>
      <c r="D568" s="111"/>
      <c r="E568" s="111"/>
      <c r="F568" s="111"/>
      <c r="G568" s="111"/>
      <c r="H568" s="111"/>
      <c r="I568" s="112">
        <f>K568/E559</f>
        <v>5814.25</v>
      </c>
      <c r="J568" s="112"/>
      <c r="K568" s="112">
        <f>L560+L566+L567</f>
        <v>5814.25</v>
      </c>
      <c r="L568" s="112"/>
      <c r="AD568">
        <f>ROUND((Source!AT358/100)*((ROUND(SUMIF(SmtRes!AQ112:'SmtRes'!AQ114,"=1",SmtRes!AD112:'SmtRes'!AD114)*Source!I358, 2)+ROUND(SUMIF(SmtRes!AQ112:'SmtRes'!AQ114,"=1",SmtRes!AC112:'SmtRes'!AC114)*Source!I358, 2))), 2)</f>
        <v>766.64</v>
      </c>
      <c r="AE568">
        <f>ROUND((Source!AU358/100)*((ROUND(SUMIF(SmtRes!AQ112:'SmtRes'!AQ114,"=1",SmtRes!AD112:'SmtRes'!AD114)*Source!I358, 2)+ROUND(SUMIF(SmtRes!AQ112:'SmtRes'!AQ114,"=1",SmtRes!AC112:'SmtRes'!AC114)*Source!I358, 2))), 2)</f>
        <v>372.96</v>
      </c>
      <c r="AN568" s="56">
        <f>L560+L566+L567</f>
        <v>5814.25</v>
      </c>
      <c r="AO568">
        <f>0</f>
        <v>0</v>
      </c>
      <c r="AQ568" t="s">
        <v>495</v>
      </c>
      <c r="AR568" s="56">
        <f>L560</f>
        <v>2768.69</v>
      </c>
      <c r="AT568">
        <f>0</f>
        <v>0</v>
      </c>
      <c r="AV568" t="s">
        <v>495</v>
      </c>
      <c r="AW568">
        <f>0</f>
        <v>0</v>
      </c>
      <c r="AZ568">
        <f>Source!X358</f>
        <v>2048.83</v>
      </c>
      <c r="BA568">
        <f>Source!Y358</f>
        <v>996.73</v>
      </c>
      <c r="BR568" s="56">
        <f>K568</f>
        <v>5814.25</v>
      </c>
      <c r="BU568">
        <f>ROUND(K568*80/100, 2)</f>
        <v>4651.3999999999996</v>
      </c>
      <c r="BV568" s="56">
        <f>K568-BU568</f>
        <v>1162.8500000000004</v>
      </c>
      <c r="CB568">
        <f>Source!BM358</f>
        <v>200001</v>
      </c>
      <c r="CC568" t="str">
        <f>Source!E358</f>
        <v>35</v>
      </c>
      <c r="CD568">
        <v>4</v>
      </c>
    </row>
    <row r="569" spans="1:82" ht="28.5">
      <c r="A569" s="40" t="s">
        <v>235</v>
      </c>
      <c r="B569" s="42" t="s">
        <v>557</v>
      </c>
      <c r="C569" s="42" t="str">
        <f>Source!G359</f>
        <v>Замер полного сопротивления цепи "фаза-нуль"</v>
      </c>
      <c r="D569" s="43" t="str">
        <f>Source!H359</f>
        <v>ШТ</v>
      </c>
      <c r="E569" s="47">
        <f>Source!K359</f>
        <v>4</v>
      </c>
      <c r="F569" s="41"/>
      <c r="G569" s="47">
        <f>Source!I359</f>
        <v>4</v>
      </c>
      <c r="H569" s="48"/>
      <c r="I569" s="46"/>
      <c r="J569" s="48"/>
      <c r="K569" s="42"/>
      <c r="L569" s="48"/>
    </row>
    <row r="570" spans="1:82" ht="15">
      <c r="A570" s="41"/>
      <c r="B570" s="45">
        <v>1</v>
      </c>
      <c r="C570" s="41" t="s">
        <v>483</v>
      </c>
      <c r="D570" s="43" t="s">
        <v>321</v>
      </c>
      <c r="E570" s="47"/>
      <c r="F570" s="45"/>
      <c r="G570" s="47">
        <f>Source!U359</f>
        <v>4</v>
      </c>
      <c r="H570" s="45"/>
      <c r="I570" s="45"/>
      <c r="J570" s="45"/>
      <c r="K570" s="45"/>
      <c r="L570" s="49">
        <f>SUM(L571:L572)-SUMIF(CE571:CE572, 1, L571:L572)</f>
        <v>1610.54</v>
      </c>
    </row>
    <row r="571" spans="1:82" ht="14.25">
      <c r="A571" s="42"/>
      <c r="B571" s="42" t="s">
        <v>434</v>
      </c>
      <c r="C571" s="42" t="s">
        <v>435</v>
      </c>
      <c r="D571" s="43" t="s">
        <v>368</v>
      </c>
      <c r="E571" s="47">
        <v>0.5</v>
      </c>
      <c r="F571" s="41"/>
      <c r="G571" s="47">
        <f>SmtRes!CX115</f>
        <v>2</v>
      </c>
      <c r="H571" s="48"/>
      <c r="I571" s="46"/>
      <c r="J571" s="48">
        <f>SmtRes!CZ115</f>
        <v>407.16</v>
      </c>
      <c r="K571" s="42"/>
      <c r="L571" s="48">
        <f>SmtRes!DI115</f>
        <v>814.32</v>
      </c>
    </row>
    <row r="572" spans="1:82" ht="14.25">
      <c r="A572" s="42"/>
      <c r="B572" s="42" t="s">
        <v>436</v>
      </c>
      <c r="C572" s="50" t="s">
        <v>437</v>
      </c>
      <c r="D572" s="51" t="s">
        <v>368</v>
      </c>
      <c r="E572" s="52">
        <v>0.5</v>
      </c>
      <c r="F572" s="53"/>
      <c r="G572" s="52">
        <f>SmtRes!CX116</f>
        <v>2</v>
      </c>
      <c r="H572" s="54"/>
      <c r="I572" s="55"/>
      <c r="J572" s="54">
        <f>SmtRes!CZ116</f>
        <v>398.11</v>
      </c>
      <c r="K572" s="50"/>
      <c r="L572" s="54">
        <f>SmtRes!DI116</f>
        <v>796.22</v>
      </c>
    </row>
    <row r="573" spans="1:82" ht="15">
      <c r="A573" s="42"/>
      <c r="B573" s="42"/>
      <c r="C573" s="58" t="s">
        <v>489</v>
      </c>
      <c r="D573" s="43"/>
      <c r="E573" s="47"/>
      <c r="F573" s="41"/>
      <c r="G573" s="47"/>
      <c r="H573" s="48"/>
      <c r="I573" s="46"/>
      <c r="J573" s="48"/>
      <c r="K573" s="42"/>
      <c r="L573" s="48">
        <f>L570</f>
        <v>1610.54</v>
      </c>
    </row>
    <row r="574" spans="1:82" ht="14.25">
      <c r="A574" s="42"/>
      <c r="B574" s="42"/>
      <c r="C574" s="42" t="s">
        <v>491</v>
      </c>
      <c r="D574" s="43"/>
      <c r="E574" s="47"/>
      <c r="F574" s="41"/>
      <c r="G574" s="47"/>
      <c r="H574" s="48"/>
      <c r="I574" s="46"/>
      <c r="J574" s="48"/>
      <c r="K574" s="42"/>
      <c r="L574" s="48">
        <f>SUM(AR569:AR577)+SUM(AS569:AS577)+SUM(AT569:AT577)+SUM(AU569:AU577)+SUM(AV569:AV577)</f>
        <v>1610.54</v>
      </c>
    </row>
    <row r="575" spans="1:82" ht="14.25">
      <c r="A575" s="42"/>
      <c r="B575" s="42" t="s">
        <v>233</v>
      </c>
      <c r="C575" s="42" t="s">
        <v>555</v>
      </c>
      <c r="D575" s="43" t="s">
        <v>30</v>
      </c>
      <c r="E575" s="47">
        <f>Source!BZ359</f>
        <v>74</v>
      </c>
      <c r="F575" s="41"/>
      <c r="G575" s="47">
        <f>Source!AT359</f>
        <v>74</v>
      </c>
      <c r="H575" s="48"/>
      <c r="I575" s="46"/>
      <c r="J575" s="48"/>
      <c r="K575" s="42"/>
      <c r="L575" s="48">
        <f>SUM(AZ569:AZ577)</f>
        <v>1191.8</v>
      </c>
    </row>
    <row r="576" spans="1:82" ht="14.25">
      <c r="A576" s="50"/>
      <c r="B576" s="50" t="s">
        <v>234</v>
      </c>
      <c r="C576" s="50" t="s">
        <v>556</v>
      </c>
      <c r="D576" s="51" t="s">
        <v>30</v>
      </c>
      <c r="E576" s="52">
        <f>Source!CA359</f>
        <v>36</v>
      </c>
      <c r="F576" s="53"/>
      <c r="G576" s="52">
        <f>Source!AU359</f>
        <v>36</v>
      </c>
      <c r="H576" s="54"/>
      <c r="I576" s="55"/>
      <c r="J576" s="54"/>
      <c r="K576" s="50"/>
      <c r="L576" s="54">
        <f>SUM(BA569:BA577)</f>
        <v>579.79</v>
      </c>
    </row>
    <row r="577" spans="1:82" ht="15">
      <c r="C577" s="111" t="s">
        <v>494</v>
      </c>
      <c r="D577" s="111"/>
      <c r="E577" s="111"/>
      <c r="F577" s="111"/>
      <c r="G577" s="111"/>
      <c r="H577" s="111"/>
      <c r="I577" s="112">
        <f>K577/E569</f>
        <v>845.53250000000003</v>
      </c>
      <c r="J577" s="112"/>
      <c r="K577" s="112">
        <f>L570+L575+L576</f>
        <v>3382.13</v>
      </c>
      <c r="L577" s="112"/>
      <c r="AD577">
        <f>ROUND((Source!AT359/100)*((ROUND(SUMIF(SmtRes!AQ115:'SmtRes'!AQ116,"=1",SmtRes!AD115:'SmtRes'!AD116)*Source!I359, 2)+ROUND(SUMIF(SmtRes!AQ115:'SmtRes'!AQ116,"=1",SmtRes!AC115:'SmtRes'!AC116)*Source!I359, 2))), 2)</f>
        <v>2383.6</v>
      </c>
      <c r="AE577">
        <f>ROUND((Source!AU359/100)*((ROUND(SUMIF(SmtRes!AQ115:'SmtRes'!AQ116,"=1",SmtRes!AD115:'SmtRes'!AD116)*Source!I359, 2)+ROUND(SUMIF(SmtRes!AQ115:'SmtRes'!AQ116,"=1",SmtRes!AC115:'SmtRes'!AC116)*Source!I359, 2))), 2)</f>
        <v>1159.5899999999999</v>
      </c>
      <c r="AN577" s="56">
        <f>L570+L575+L576</f>
        <v>3382.13</v>
      </c>
      <c r="AO577">
        <f>0</f>
        <v>0</v>
      </c>
      <c r="AQ577" t="s">
        <v>495</v>
      </c>
      <c r="AR577" s="56">
        <f>L570</f>
        <v>1610.54</v>
      </c>
      <c r="AT577">
        <f>0</f>
        <v>0</v>
      </c>
      <c r="AV577" t="s">
        <v>495</v>
      </c>
      <c r="AW577">
        <f>0</f>
        <v>0</v>
      </c>
      <c r="AZ577">
        <f>Source!X359</f>
        <v>1191.8</v>
      </c>
      <c r="BA577">
        <f>Source!Y359</f>
        <v>579.79</v>
      </c>
      <c r="BR577" s="56">
        <f>K577</f>
        <v>3382.13</v>
      </c>
      <c r="BU577">
        <f>ROUND(K577*80/100, 2)</f>
        <v>2705.7</v>
      </c>
      <c r="BV577" s="56">
        <f>K577-BU577</f>
        <v>676.43000000000029</v>
      </c>
      <c r="CB577">
        <f>Source!BM359</f>
        <v>200001</v>
      </c>
      <c r="CC577" t="str">
        <f>Source!E359</f>
        <v>36</v>
      </c>
      <c r="CD577">
        <v>4</v>
      </c>
    </row>
    <row r="578" spans="1:82" ht="42.75">
      <c r="A578" s="40" t="s">
        <v>239</v>
      </c>
      <c r="B578" s="42" t="s">
        <v>558</v>
      </c>
      <c r="C578" s="42" t="str">
        <f>Source!G360</f>
        <v>Фазировка электрической линии или трансформатора с сетью напряжением: до 1 кВ</v>
      </c>
      <c r="D578" s="43" t="str">
        <f>Source!H360</f>
        <v>ШТ</v>
      </c>
      <c r="E578" s="47">
        <f>Source!K360</f>
        <v>4</v>
      </c>
      <c r="F578" s="41"/>
      <c r="G578" s="47">
        <f>Source!I360</f>
        <v>4</v>
      </c>
      <c r="H578" s="48"/>
      <c r="I578" s="46"/>
      <c r="J578" s="48"/>
      <c r="K578" s="42"/>
      <c r="L578" s="48"/>
    </row>
    <row r="579" spans="1:82" ht="15">
      <c r="A579" s="41"/>
      <c r="B579" s="45">
        <v>1</v>
      </c>
      <c r="C579" s="41" t="s">
        <v>483</v>
      </c>
      <c r="D579" s="43" t="s">
        <v>321</v>
      </c>
      <c r="E579" s="47"/>
      <c r="F579" s="45"/>
      <c r="G579" s="47">
        <f>Source!U360</f>
        <v>3.28</v>
      </c>
      <c r="H579" s="45"/>
      <c r="I579" s="45"/>
      <c r="J579" s="45"/>
      <c r="K579" s="45"/>
      <c r="L579" s="49">
        <f>SUM(L580:L581)-SUMIF(CE580:CE581, 1, L580:L581)</f>
        <v>1320.6399999999999</v>
      </c>
    </row>
    <row r="580" spans="1:82" ht="14.25">
      <c r="A580" s="42"/>
      <c r="B580" s="42" t="s">
        <v>434</v>
      </c>
      <c r="C580" s="42" t="s">
        <v>435</v>
      </c>
      <c r="D580" s="43" t="s">
        <v>368</v>
      </c>
      <c r="E580" s="47">
        <v>0.41</v>
      </c>
      <c r="F580" s="41"/>
      <c r="G580" s="47">
        <f>SmtRes!CX117</f>
        <v>1.64</v>
      </c>
      <c r="H580" s="48"/>
      <c r="I580" s="46"/>
      <c r="J580" s="48">
        <f>SmtRes!CZ117</f>
        <v>407.16</v>
      </c>
      <c r="K580" s="42"/>
      <c r="L580" s="48">
        <f>SmtRes!DI117</f>
        <v>667.74</v>
      </c>
    </row>
    <row r="581" spans="1:82" ht="14.25">
      <c r="A581" s="42"/>
      <c r="B581" s="42" t="s">
        <v>436</v>
      </c>
      <c r="C581" s="50" t="s">
        <v>437</v>
      </c>
      <c r="D581" s="51" t="s">
        <v>368</v>
      </c>
      <c r="E581" s="52">
        <v>0.41</v>
      </c>
      <c r="F581" s="53"/>
      <c r="G581" s="52">
        <f>SmtRes!CX118</f>
        <v>1.64</v>
      </c>
      <c r="H581" s="54"/>
      <c r="I581" s="55"/>
      <c r="J581" s="54">
        <f>SmtRes!CZ118</f>
        <v>398.11</v>
      </c>
      <c r="K581" s="50"/>
      <c r="L581" s="54">
        <f>SmtRes!DI118</f>
        <v>652.9</v>
      </c>
    </row>
    <row r="582" spans="1:82" ht="15">
      <c r="A582" s="42"/>
      <c r="B582" s="42"/>
      <c r="C582" s="58" t="s">
        <v>489</v>
      </c>
      <c r="D582" s="43"/>
      <c r="E582" s="47"/>
      <c r="F582" s="41"/>
      <c r="G582" s="47"/>
      <c r="H582" s="48"/>
      <c r="I582" s="46"/>
      <c r="J582" s="48"/>
      <c r="K582" s="42"/>
      <c r="L582" s="48">
        <f>L579</f>
        <v>1320.6399999999999</v>
      </c>
    </row>
    <row r="583" spans="1:82" ht="14.25">
      <c r="A583" s="42"/>
      <c r="B583" s="42"/>
      <c r="C583" s="42" t="s">
        <v>491</v>
      </c>
      <c r="D583" s="43"/>
      <c r="E583" s="47"/>
      <c r="F583" s="41"/>
      <c r="G583" s="47"/>
      <c r="H583" s="48"/>
      <c r="I583" s="46"/>
      <c r="J583" s="48"/>
      <c r="K583" s="42"/>
      <c r="L583" s="48">
        <f>SUM(AR578:AR586)+SUM(AS578:AS586)+SUM(AT578:AT586)+SUM(AU578:AU586)+SUM(AV578:AV586)</f>
        <v>1320.6399999999999</v>
      </c>
    </row>
    <row r="584" spans="1:82" ht="14.25">
      <c r="A584" s="42"/>
      <c r="B584" s="42" t="s">
        <v>233</v>
      </c>
      <c r="C584" s="42" t="s">
        <v>555</v>
      </c>
      <c r="D584" s="43" t="s">
        <v>30</v>
      </c>
      <c r="E584" s="47">
        <f>Source!BZ360</f>
        <v>74</v>
      </c>
      <c r="F584" s="41"/>
      <c r="G584" s="47">
        <f>Source!AT360</f>
        <v>74</v>
      </c>
      <c r="H584" s="48"/>
      <c r="I584" s="46"/>
      <c r="J584" s="48"/>
      <c r="K584" s="42"/>
      <c r="L584" s="48">
        <f>SUM(AZ578:AZ586)</f>
        <v>977.27</v>
      </c>
    </row>
    <row r="585" spans="1:82" ht="14.25">
      <c r="A585" s="50"/>
      <c r="B585" s="50" t="s">
        <v>234</v>
      </c>
      <c r="C585" s="50" t="s">
        <v>556</v>
      </c>
      <c r="D585" s="51" t="s">
        <v>30</v>
      </c>
      <c r="E585" s="52">
        <f>Source!CA360</f>
        <v>36</v>
      </c>
      <c r="F585" s="53"/>
      <c r="G585" s="52">
        <f>Source!AU360</f>
        <v>36</v>
      </c>
      <c r="H585" s="54"/>
      <c r="I585" s="55"/>
      <c r="J585" s="54"/>
      <c r="K585" s="50"/>
      <c r="L585" s="54">
        <f>SUM(BA578:BA586)</f>
        <v>475.43</v>
      </c>
    </row>
    <row r="586" spans="1:82" ht="15">
      <c r="C586" s="111" t="s">
        <v>494</v>
      </c>
      <c r="D586" s="111"/>
      <c r="E586" s="111"/>
      <c r="F586" s="111"/>
      <c r="G586" s="111"/>
      <c r="H586" s="111"/>
      <c r="I586" s="112">
        <f>K586/E578</f>
        <v>693.33499999999992</v>
      </c>
      <c r="J586" s="112"/>
      <c r="K586" s="112">
        <f>L579+L584+L585</f>
        <v>2773.3399999999997</v>
      </c>
      <c r="L586" s="112"/>
      <c r="AD586">
        <f>ROUND((Source!AT360/100)*((ROUND(SUMIF(SmtRes!AQ117:'SmtRes'!AQ118,"=1",SmtRes!AD117:'SmtRes'!AD118)*Source!I360, 2)+ROUND(SUMIF(SmtRes!AQ117:'SmtRes'!AQ118,"=1",SmtRes!AC117:'SmtRes'!AC118)*Source!I360, 2))), 2)</f>
        <v>2383.6</v>
      </c>
      <c r="AE586">
        <f>ROUND((Source!AU360/100)*((ROUND(SUMIF(SmtRes!AQ117:'SmtRes'!AQ118,"=1",SmtRes!AD117:'SmtRes'!AD118)*Source!I360, 2)+ROUND(SUMIF(SmtRes!AQ117:'SmtRes'!AQ118,"=1",SmtRes!AC117:'SmtRes'!AC118)*Source!I360, 2))), 2)</f>
        <v>1159.5899999999999</v>
      </c>
      <c r="AN586" s="56">
        <f>L579+L584+L585</f>
        <v>2773.3399999999997</v>
      </c>
      <c r="AO586">
        <f>0</f>
        <v>0</v>
      </c>
      <c r="AQ586" t="s">
        <v>495</v>
      </c>
      <c r="AR586" s="56">
        <f>L579</f>
        <v>1320.6399999999999</v>
      </c>
      <c r="AT586">
        <f>0</f>
        <v>0</v>
      </c>
      <c r="AV586" t="s">
        <v>495</v>
      </c>
      <c r="AW586">
        <f>0</f>
        <v>0</v>
      </c>
      <c r="AZ586">
        <f>Source!X360</f>
        <v>977.27</v>
      </c>
      <c r="BA586">
        <f>Source!Y360</f>
        <v>475.43</v>
      </c>
      <c r="BR586" s="56">
        <f>K586</f>
        <v>2773.3399999999997</v>
      </c>
      <c r="BU586">
        <f>ROUND(K586*80/100, 2)</f>
        <v>2218.67</v>
      </c>
      <c r="BV586" s="56">
        <f>K586-BU586</f>
        <v>554.66999999999962</v>
      </c>
      <c r="CB586">
        <f>Source!BM360</f>
        <v>200001</v>
      </c>
      <c r="CC586" t="str">
        <f>Source!E360</f>
        <v>37</v>
      </c>
      <c r="CD586">
        <v>4</v>
      </c>
    </row>
    <row r="587" spans="1:82" ht="42.75">
      <c r="A587" s="40" t="s">
        <v>243</v>
      </c>
      <c r="B587" s="42" t="s">
        <v>559</v>
      </c>
      <c r="C587" s="42" t="str">
        <f>Source!G361</f>
        <v>Снятие характеристик коммутационных аппаратов: временных</v>
      </c>
      <c r="D587" s="43" t="str">
        <f>Source!H361</f>
        <v>ШТ</v>
      </c>
      <c r="E587" s="47">
        <f>Source!K361</f>
        <v>4</v>
      </c>
      <c r="F587" s="41"/>
      <c r="G587" s="47">
        <f>Source!I361</f>
        <v>4</v>
      </c>
      <c r="H587" s="48"/>
      <c r="I587" s="46"/>
      <c r="J587" s="48"/>
      <c r="K587" s="42"/>
      <c r="L587" s="48"/>
    </row>
    <row r="588" spans="1:82" ht="15">
      <c r="A588" s="41"/>
      <c r="B588" s="45">
        <v>1</v>
      </c>
      <c r="C588" s="41" t="s">
        <v>483</v>
      </c>
      <c r="D588" s="43" t="s">
        <v>321</v>
      </c>
      <c r="E588" s="47"/>
      <c r="F588" s="45"/>
      <c r="G588" s="47">
        <f>Source!U361</f>
        <v>6.48</v>
      </c>
      <c r="H588" s="45"/>
      <c r="I588" s="45"/>
      <c r="J588" s="45"/>
      <c r="K588" s="45"/>
      <c r="L588" s="49">
        <f>SUM(L589:L590)-SUMIF(CE589:CE590, 1, L589:L590)</f>
        <v>2609.08</v>
      </c>
    </row>
    <row r="589" spans="1:82" ht="14.25">
      <c r="A589" s="42"/>
      <c r="B589" s="42" t="s">
        <v>434</v>
      </c>
      <c r="C589" s="42" t="s">
        <v>435</v>
      </c>
      <c r="D589" s="43" t="s">
        <v>368</v>
      </c>
      <c r="E589" s="47">
        <v>0.81</v>
      </c>
      <c r="F589" s="41"/>
      <c r="G589" s="47">
        <f>SmtRes!CX119</f>
        <v>3.24</v>
      </c>
      <c r="H589" s="48"/>
      <c r="I589" s="46"/>
      <c r="J589" s="48">
        <f>SmtRes!CZ119</f>
        <v>407.16</v>
      </c>
      <c r="K589" s="42"/>
      <c r="L589" s="48">
        <f>SmtRes!DI119</f>
        <v>1319.2</v>
      </c>
    </row>
    <row r="590" spans="1:82" ht="14.25">
      <c r="A590" s="42"/>
      <c r="B590" s="42" t="s">
        <v>436</v>
      </c>
      <c r="C590" s="50" t="s">
        <v>437</v>
      </c>
      <c r="D590" s="51" t="s">
        <v>368</v>
      </c>
      <c r="E590" s="52">
        <v>0.81</v>
      </c>
      <c r="F590" s="53"/>
      <c r="G590" s="52">
        <f>SmtRes!CX120</f>
        <v>3.24</v>
      </c>
      <c r="H590" s="54"/>
      <c r="I590" s="55"/>
      <c r="J590" s="54">
        <f>SmtRes!CZ120</f>
        <v>398.11</v>
      </c>
      <c r="K590" s="50"/>
      <c r="L590" s="54">
        <f>SmtRes!DI120</f>
        <v>1289.8800000000001</v>
      </c>
    </row>
    <row r="591" spans="1:82" ht="15">
      <c r="A591" s="42"/>
      <c r="B591" s="42"/>
      <c r="C591" s="58" t="s">
        <v>489</v>
      </c>
      <c r="D591" s="43"/>
      <c r="E591" s="47"/>
      <c r="F591" s="41"/>
      <c r="G591" s="47"/>
      <c r="H591" s="48"/>
      <c r="I591" s="46"/>
      <c r="J591" s="48"/>
      <c r="K591" s="42"/>
      <c r="L591" s="48">
        <f>L588</f>
        <v>2609.08</v>
      </c>
    </row>
    <row r="592" spans="1:82" ht="14.25">
      <c r="A592" s="42"/>
      <c r="B592" s="42"/>
      <c r="C592" s="42" t="s">
        <v>491</v>
      </c>
      <c r="D592" s="43"/>
      <c r="E592" s="47"/>
      <c r="F592" s="41"/>
      <c r="G592" s="47"/>
      <c r="H592" s="48"/>
      <c r="I592" s="46"/>
      <c r="J592" s="48"/>
      <c r="K592" s="42"/>
      <c r="L592" s="48">
        <f>SUM(AR587:AR595)+SUM(AS587:AS595)+SUM(AT587:AT595)+SUM(AU587:AU595)+SUM(AV587:AV595)</f>
        <v>2609.08</v>
      </c>
    </row>
    <row r="593" spans="1:82" ht="14.25">
      <c r="A593" s="42"/>
      <c r="B593" s="42" t="s">
        <v>233</v>
      </c>
      <c r="C593" s="42" t="s">
        <v>555</v>
      </c>
      <c r="D593" s="43" t="s">
        <v>30</v>
      </c>
      <c r="E593" s="47">
        <f>Source!BZ361</f>
        <v>74</v>
      </c>
      <c r="F593" s="41"/>
      <c r="G593" s="47">
        <f>Source!AT361</f>
        <v>74</v>
      </c>
      <c r="H593" s="48"/>
      <c r="I593" s="46"/>
      <c r="J593" s="48"/>
      <c r="K593" s="42"/>
      <c r="L593" s="48">
        <f>SUM(AZ587:AZ595)</f>
        <v>1930.72</v>
      </c>
    </row>
    <row r="594" spans="1:82" ht="14.25">
      <c r="A594" s="50"/>
      <c r="B594" s="50" t="s">
        <v>234</v>
      </c>
      <c r="C594" s="50" t="s">
        <v>556</v>
      </c>
      <c r="D594" s="51" t="s">
        <v>30</v>
      </c>
      <c r="E594" s="52">
        <f>Source!CA361</f>
        <v>36</v>
      </c>
      <c r="F594" s="53"/>
      <c r="G594" s="52">
        <f>Source!AU361</f>
        <v>36</v>
      </c>
      <c r="H594" s="54"/>
      <c r="I594" s="55"/>
      <c r="J594" s="54"/>
      <c r="K594" s="50"/>
      <c r="L594" s="54">
        <f>SUM(BA587:BA595)</f>
        <v>939.27</v>
      </c>
    </row>
    <row r="595" spans="1:82" ht="15">
      <c r="C595" s="111" t="s">
        <v>494</v>
      </c>
      <c r="D595" s="111"/>
      <c r="E595" s="111"/>
      <c r="F595" s="111"/>
      <c r="G595" s="111"/>
      <c r="H595" s="111"/>
      <c r="I595" s="112">
        <f>K595/E587</f>
        <v>1369.7674999999999</v>
      </c>
      <c r="J595" s="112"/>
      <c r="K595" s="112">
        <f>L588+L593+L594</f>
        <v>5479.07</v>
      </c>
      <c r="L595" s="112"/>
      <c r="AD595">
        <f>ROUND((Source!AT361/100)*((ROUND(SUMIF(SmtRes!AQ119:'SmtRes'!AQ120,"=1",SmtRes!AD119:'SmtRes'!AD120)*Source!I361, 2)+ROUND(SUMIF(SmtRes!AQ119:'SmtRes'!AQ120,"=1",SmtRes!AC119:'SmtRes'!AC120)*Source!I361, 2))), 2)</f>
        <v>2383.6</v>
      </c>
      <c r="AE595">
        <f>ROUND((Source!AU361/100)*((ROUND(SUMIF(SmtRes!AQ119:'SmtRes'!AQ120,"=1",SmtRes!AD119:'SmtRes'!AD120)*Source!I361, 2)+ROUND(SUMIF(SmtRes!AQ119:'SmtRes'!AQ120,"=1",SmtRes!AC119:'SmtRes'!AC120)*Source!I361, 2))), 2)</f>
        <v>1159.5899999999999</v>
      </c>
      <c r="AN595" s="56">
        <f>L588+L593+L594</f>
        <v>5479.07</v>
      </c>
      <c r="AO595">
        <f>0</f>
        <v>0</v>
      </c>
      <c r="AQ595" t="s">
        <v>495</v>
      </c>
      <c r="AR595" s="56">
        <f>L588</f>
        <v>2609.08</v>
      </c>
      <c r="AT595">
        <f>0</f>
        <v>0</v>
      </c>
      <c r="AV595" t="s">
        <v>495</v>
      </c>
      <c r="AW595">
        <f>0</f>
        <v>0</v>
      </c>
      <c r="AZ595">
        <f>Source!X361</f>
        <v>1930.72</v>
      </c>
      <c r="BA595">
        <f>Source!Y361</f>
        <v>939.27</v>
      </c>
      <c r="BR595" s="56">
        <f>K595</f>
        <v>5479.07</v>
      </c>
      <c r="BU595">
        <f>ROUND(K595*80/100, 2)</f>
        <v>4383.26</v>
      </c>
      <c r="BV595" s="56">
        <f>K595-BU595</f>
        <v>1095.8099999999995</v>
      </c>
      <c r="CB595">
        <f>Source!BM361</f>
        <v>200001</v>
      </c>
      <c r="CC595" t="str">
        <f>Source!E361</f>
        <v>38</v>
      </c>
      <c r="CD595">
        <v>4</v>
      </c>
    </row>
    <row r="597" spans="1:82" ht="15">
      <c r="A597" s="62"/>
      <c r="B597" s="63"/>
      <c r="C597" s="129" t="s">
        <v>501</v>
      </c>
      <c r="D597" s="129"/>
      <c r="E597" s="129"/>
      <c r="F597" s="129"/>
      <c r="G597" s="129"/>
      <c r="H597" s="129"/>
      <c r="I597" s="49"/>
      <c r="J597" s="62"/>
      <c r="K597" s="64"/>
      <c r="L597" s="49">
        <f>L599+L600+L606+L610</f>
        <v>8308.9499999999989</v>
      </c>
    </row>
    <row r="598" spans="1:82" ht="14.25">
      <c r="A598" s="59"/>
      <c r="B598" s="61"/>
      <c r="C598" s="128" t="s">
        <v>502</v>
      </c>
      <c r="D598" s="127"/>
      <c r="E598" s="127"/>
      <c r="F598" s="127"/>
      <c r="G598" s="127"/>
      <c r="H598" s="127"/>
      <c r="I598" s="48"/>
      <c r="J598" s="59"/>
      <c r="K598" s="45"/>
      <c r="L598" s="48"/>
    </row>
    <row r="599" spans="1:82" ht="14.25">
      <c r="A599" s="59"/>
      <c r="B599" s="61"/>
      <c r="C599" s="127" t="s">
        <v>503</v>
      </c>
      <c r="D599" s="127"/>
      <c r="E599" s="127"/>
      <c r="F599" s="127"/>
      <c r="G599" s="127"/>
      <c r="H599" s="127"/>
      <c r="I599" s="48"/>
      <c r="J599" s="59"/>
      <c r="K599" s="45"/>
      <c r="L599" s="48">
        <f>SUM(AR558:AR595)</f>
        <v>8308.9499999999989</v>
      </c>
    </row>
    <row r="600" spans="1:82" ht="14.25" hidden="1">
      <c r="A600" s="59"/>
      <c r="B600" s="61"/>
      <c r="C600" s="127" t="s">
        <v>504</v>
      </c>
      <c r="D600" s="127"/>
      <c r="E600" s="127"/>
      <c r="F600" s="127"/>
      <c r="G600" s="127"/>
      <c r="H600" s="127"/>
      <c r="I600" s="48"/>
      <c r="J600" s="59"/>
      <c r="K600" s="45"/>
      <c r="L600" s="48">
        <f>L602+L605+L604</f>
        <v>0</v>
      </c>
    </row>
    <row r="601" spans="1:82" ht="14.25" hidden="1">
      <c r="A601" s="59"/>
      <c r="B601" s="61"/>
      <c r="C601" s="128" t="s">
        <v>505</v>
      </c>
      <c r="D601" s="127"/>
      <c r="E601" s="127"/>
      <c r="F601" s="127"/>
      <c r="G601" s="127"/>
      <c r="H601" s="127"/>
      <c r="I601" s="48"/>
      <c r="J601" s="59"/>
      <c r="K601" s="45"/>
      <c r="L601" s="48"/>
    </row>
    <row r="602" spans="1:82" ht="14.25" hidden="1">
      <c r="A602" s="59"/>
      <c r="B602" s="61"/>
      <c r="C602" s="127" t="s">
        <v>504</v>
      </c>
      <c r="D602" s="127"/>
      <c r="E602" s="127"/>
      <c r="F602" s="127"/>
      <c r="G602" s="127"/>
      <c r="H602" s="127"/>
      <c r="I602" s="48"/>
      <c r="J602" s="59"/>
      <c r="K602" s="45"/>
      <c r="L602" s="48">
        <f>SUM(AO558:AO595)</f>
        <v>0</v>
      </c>
    </row>
    <row r="603" spans="1:82" ht="14.25" hidden="1">
      <c r="A603" s="59"/>
      <c r="B603" s="61"/>
      <c r="C603" s="128" t="s">
        <v>506</v>
      </c>
      <c r="D603" s="127"/>
      <c r="E603" s="127"/>
      <c r="F603" s="127"/>
      <c r="G603" s="127"/>
      <c r="H603" s="127"/>
      <c r="I603" s="48"/>
      <c r="J603" s="59"/>
      <c r="K603" s="45"/>
      <c r="L603" s="48"/>
    </row>
    <row r="604" spans="1:82" ht="14.25" hidden="1">
      <c r="A604" s="59"/>
      <c r="B604" s="61"/>
      <c r="C604" s="127" t="s">
        <v>526</v>
      </c>
      <c r="D604" s="127"/>
      <c r="E604" s="127"/>
      <c r="F604" s="127"/>
      <c r="G604" s="127"/>
      <c r="H604" s="127"/>
      <c r="I604" s="48"/>
      <c r="J604" s="59"/>
      <c r="K604" s="45"/>
      <c r="L604" s="48">
        <f>SUM(AT558:AT595)</f>
        <v>0</v>
      </c>
    </row>
    <row r="605" spans="1:82" ht="14.25" hidden="1">
      <c r="A605" s="59"/>
      <c r="B605" s="61"/>
      <c r="C605" s="127" t="s">
        <v>507</v>
      </c>
      <c r="D605" s="127"/>
      <c r="E605" s="127"/>
      <c r="F605" s="127"/>
      <c r="G605" s="127"/>
      <c r="H605" s="127"/>
      <c r="I605" s="48"/>
      <c r="J605" s="59"/>
      <c r="K605" s="45"/>
      <c r="L605" s="48">
        <f>SUM(AV558:AV595)</f>
        <v>0</v>
      </c>
    </row>
    <row r="606" spans="1:82" ht="14.25" hidden="1">
      <c r="A606" s="59"/>
      <c r="B606" s="61"/>
      <c r="C606" s="127" t="s">
        <v>508</v>
      </c>
      <c r="D606" s="127"/>
      <c r="E606" s="127"/>
      <c r="F606" s="127"/>
      <c r="G606" s="127"/>
      <c r="H606" s="127"/>
      <c r="I606" s="48"/>
      <c r="J606" s="59"/>
      <c r="K606" s="45"/>
      <c r="L606" s="48">
        <f>L608+L609</f>
        <v>0</v>
      </c>
    </row>
    <row r="607" spans="1:82" ht="14.25" hidden="1">
      <c r="A607" s="59"/>
      <c r="B607" s="61"/>
      <c r="C607" s="128" t="s">
        <v>505</v>
      </c>
      <c r="D607" s="127"/>
      <c r="E607" s="127"/>
      <c r="F607" s="127"/>
      <c r="G607" s="127"/>
      <c r="H607" s="127"/>
      <c r="I607" s="48"/>
      <c r="J607" s="59"/>
      <c r="K607" s="45"/>
      <c r="L607" s="48"/>
    </row>
    <row r="608" spans="1:82" ht="14.25" hidden="1">
      <c r="A608" s="59"/>
      <c r="B608" s="61"/>
      <c r="C608" s="127" t="s">
        <v>509</v>
      </c>
      <c r="D608" s="127"/>
      <c r="E608" s="127"/>
      <c r="F608" s="127"/>
      <c r="G608" s="127"/>
      <c r="H608" s="127"/>
      <c r="I608" s="48"/>
      <c r="J608" s="59"/>
      <c r="K608" s="45"/>
      <c r="L608" s="48">
        <f>SUM(AW558:AW595)-SUM(BK558:BK595)</f>
        <v>0</v>
      </c>
    </row>
    <row r="609" spans="1:12" ht="14.25" hidden="1">
      <c r="A609" s="59"/>
      <c r="B609" s="61"/>
      <c r="C609" s="127" t="s">
        <v>510</v>
      </c>
      <c r="D609" s="127"/>
      <c r="E609" s="127"/>
      <c r="F609" s="127"/>
      <c r="G609" s="127"/>
      <c r="H609" s="127"/>
      <c r="I609" s="48"/>
      <c r="J609" s="59"/>
      <c r="K609" s="45"/>
      <c r="L609" s="48">
        <f>SUM(BC558:BC595)</f>
        <v>0</v>
      </c>
    </row>
    <row r="610" spans="1:12" ht="14.25" hidden="1">
      <c r="A610" s="59"/>
      <c r="B610" s="61"/>
      <c r="C610" s="127" t="s">
        <v>511</v>
      </c>
      <c r="D610" s="127"/>
      <c r="E610" s="127"/>
      <c r="F610" s="127"/>
      <c r="G610" s="127"/>
      <c r="H610" s="127"/>
      <c r="I610" s="48"/>
      <c r="J610" s="59"/>
      <c r="K610" s="45"/>
      <c r="L610" s="48">
        <f>SUM(BB558:BB595)</f>
        <v>0</v>
      </c>
    </row>
    <row r="611" spans="1:12" ht="14.25">
      <c r="A611" s="59"/>
      <c r="B611" s="61"/>
      <c r="C611" s="127" t="s">
        <v>512</v>
      </c>
      <c r="D611" s="127"/>
      <c r="E611" s="127"/>
      <c r="F611" s="127"/>
      <c r="G611" s="127"/>
      <c r="H611" s="127"/>
      <c r="I611" s="48"/>
      <c r="J611" s="59"/>
      <c r="K611" s="45"/>
      <c r="L611" s="48">
        <f>SUM(AR558:AR595)+SUM(AT558:AT595)+SUM(AV558:AV595)</f>
        <v>8308.9499999999989</v>
      </c>
    </row>
    <row r="612" spans="1:12" ht="14.25">
      <c r="A612" s="59"/>
      <c r="B612" s="61"/>
      <c r="C612" s="127" t="s">
        <v>513</v>
      </c>
      <c r="D612" s="127"/>
      <c r="E612" s="127"/>
      <c r="F612" s="127"/>
      <c r="G612" s="127"/>
      <c r="H612" s="127"/>
      <c r="I612" s="48"/>
      <c r="J612" s="59"/>
      <c r="K612" s="45"/>
      <c r="L612" s="48">
        <f>SUM(AZ558:AZ595)</f>
        <v>6148.62</v>
      </c>
    </row>
    <row r="613" spans="1:12" ht="14.25">
      <c r="A613" s="59"/>
      <c r="B613" s="61"/>
      <c r="C613" s="127" t="s">
        <v>514</v>
      </c>
      <c r="D613" s="127"/>
      <c r="E613" s="127"/>
      <c r="F613" s="127"/>
      <c r="G613" s="127"/>
      <c r="H613" s="127"/>
      <c r="I613" s="48"/>
      <c r="J613" s="59"/>
      <c r="K613" s="45"/>
      <c r="L613" s="48">
        <f>SUM(BA558:BA595)</f>
        <v>2991.22</v>
      </c>
    </row>
    <row r="614" spans="1:12" ht="14.25" hidden="1">
      <c r="A614" s="59"/>
      <c r="B614" s="61"/>
      <c r="C614" s="127" t="s">
        <v>515</v>
      </c>
      <c r="D614" s="127"/>
      <c r="E614" s="127"/>
      <c r="F614" s="127"/>
      <c r="G614" s="127"/>
      <c r="H614" s="127"/>
      <c r="I614" s="48"/>
      <c r="J614" s="59"/>
      <c r="K614" s="45"/>
      <c r="L614" s="48">
        <f>L616+L617</f>
        <v>0</v>
      </c>
    </row>
    <row r="615" spans="1:12" ht="14.25" hidden="1">
      <c r="A615" s="59"/>
      <c r="B615" s="61"/>
      <c r="C615" s="128" t="s">
        <v>502</v>
      </c>
      <c r="D615" s="127"/>
      <c r="E615" s="127"/>
      <c r="F615" s="127"/>
      <c r="G615" s="127"/>
      <c r="H615" s="127"/>
      <c r="I615" s="48"/>
      <c r="J615" s="59"/>
      <c r="K615" s="45"/>
      <c r="L615" s="48"/>
    </row>
    <row r="616" spans="1:12" ht="14.25" hidden="1">
      <c r="A616" s="59"/>
      <c r="B616" s="61"/>
      <c r="C616" s="127" t="s">
        <v>516</v>
      </c>
      <c r="D616" s="127"/>
      <c r="E616" s="127"/>
      <c r="F616" s="127"/>
      <c r="G616" s="127"/>
      <c r="H616" s="127"/>
      <c r="I616" s="48"/>
      <c r="J616" s="59"/>
      <c r="K616" s="45"/>
      <c r="L616" s="48">
        <f>SUM(BK558:BK595)</f>
        <v>0</v>
      </c>
    </row>
    <row r="617" spans="1:12" ht="14.25" hidden="1">
      <c r="A617" s="59"/>
      <c r="B617" s="61"/>
      <c r="C617" s="127" t="s">
        <v>517</v>
      </c>
      <c r="D617" s="127"/>
      <c r="E617" s="127"/>
      <c r="F617" s="127"/>
      <c r="G617" s="127"/>
      <c r="H617" s="127"/>
      <c r="I617" s="48"/>
      <c r="J617" s="59"/>
      <c r="K617" s="45"/>
      <c r="L617" s="48">
        <f>SUM(BD558:BD595)</f>
        <v>0</v>
      </c>
    </row>
    <row r="618" spans="1:12" ht="14.25" hidden="1">
      <c r="A618" s="59"/>
      <c r="B618" s="61"/>
      <c r="C618" s="127" t="s">
        <v>518</v>
      </c>
      <c r="D618" s="127"/>
      <c r="E618" s="127"/>
      <c r="F618" s="127"/>
      <c r="G618" s="127"/>
      <c r="H618" s="127"/>
      <c r="I618" s="48"/>
      <c r="J618" s="59"/>
      <c r="K618" s="45"/>
      <c r="L618" s="48"/>
    </row>
    <row r="619" spans="1:12" ht="14.25" hidden="1">
      <c r="A619" s="59"/>
      <c r="B619" s="61"/>
      <c r="C619" s="127" t="s">
        <v>519</v>
      </c>
      <c r="D619" s="127"/>
      <c r="E619" s="127"/>
      <c r="F619" s="127"/>
      <c r="G619" s="127"/>
      <c r="H619" s="127"/>
      <c r="I619" s="48"/>
      <c r="J619" s="59"/>
      <c r="K619" s="45"/>
      <c r="L619" s="48">
        <f>SUM(BO558:BO595)</f>
        <v>0</v>
      </c>
    </row>
    <row r="620" spans="1:12" ht="15">
      <c r="A620" s="62"/>
      <c r="B620" s="63"/>
      <c r="C620" s="129" t="s">
        <v>520</v>
      </c>
      <c r="D620" s="129"/>
      <c r="E620" s="129"/>
      <c r="F620" s="129"/>
      <c r="G620" s="129"/>
      <c r="H620" s="129"/>
      <c r="I620" s="49"/>
      <c r="J620" s="62"/>
      <c r="K620" s="64"/>
      <c r="L620" s="49">
        <f>L597+L612+L613+L614+L618+L619</f>
        <v>17448.79</v>
      </c>
    </row>
    <row r="621" spans="1:12" ht="14.25">
      <c r="A621" s="59"/>
      <c r="B621" s="61"/>
      <c r="C621" s="128" t="s">
        <v>521</v>
      </c>
      <c r="D621" s="127"/>
      <c r="E621" s="127"/>
      <c r="F621" s="127"/>
      <c r="G621" s="127"/>
      <c r="H621" s="127"/>
      <c r="I621" s="48"/>
      <c r="J621" s="59"/>
      <c r="K621" s="45"/>
      <c r="L621" s="48"/>
    </row>
    <row r="622" spans="1:12" ht="14.25" hidden="1">
      <c r="A622" s="59"/>
      <c r="B622" s="61"/>
      <c r="C622" s="127" t="s">
        <v>522</v>
      </c>
      <c r="D622" s="127"/>
      <c r="E622" s="127"/>
      <c r="F622" s="127"/>
      <c r="G622" s="127"/>
      <c r="H622" s="127"/>
      <c r="I622" s="48"/>
      <c r="J622" s="59"/>
      <c r="K622" s="45"/>
      <c r="L622" s="48">
        <f>SUM(AX558:AX595)</f>
        <v>0</v>
      </c>
    </row>
    <row r="623" spans="1:12" ht="14.25" hidden="1">
      <c r="A623" s="59"/>
      <c r="B623" s="61"/>
      <c r="C623" s="127" t="s">
        <v>523</v>
      </c>
      <c r="D623" s="127"/>
      <c r="E623" s="127"/>
      <c r="F623" s="127"/>
      <c r="G623" s="127"/>
      <c r="H623" s="127"/>
      <c r="I623" s="48"/>
      <c r="J623" s="59"/>
      <c r="K623" s="45"/>
      <c r="L623" s="48">
        <f>SUM(AY558:AY595)</f>
        <v>0</v>
      </c>
    </row>
    <row r="624" spans="1:12" ht="14.25">
      <c r="A624" s="59"/>
      <c r="B624" s="61"/>
      <c r="C624" s="127" t="s">
        <v>524</v>
      </c>
      <c r="D624" s="127"/>
      <c r="E624" s="127"/>
      <c r="F624" s="130"/>
      <c r="G624" s="47">
        <f>Source!F385</f>
        <v>20.96</v>
      </c>
      <c r="H624" s="59"/>
      <c r="I624" s="59"/>
      <c r="J624" s="59"/>
      <c r="K624" s="59"/>
      <c r="L624" s="59"/>
    </row>
    <row r="625" spans="1:12" ht="14.25" hidden="1" customHeight="1">
      <c r="A625" s="59"/>
      <c r="B625" s="61"/>
      <c r="C625" s="127" t="s">
        <v>525</v>
      </c>
      <c r="D625" s="127"/>
      <c r="E625" s="127"/>
      <c r="F625" s="130"/>
      <c r="G625" s="47">
        <f>Source!F386</f>
        <v>0</v>
      </c>
      <c r="H625" s="59"/>
      <c r="I625" s="59"/>
      <c r="J625" s="59"/>
      <c r="K625" s="59"/>
      <c r="L625" s="59"/>
    </row>
    <row r="627" spans="1:12" ht="14.25">
      <c r="C627" s="131" t="str">
        <f>Source!H402</f>
        <v>НДС 20%</v>
      </c>
      <c r="D627" s="131"/>
      <c r="E627" s="131"/>
      <c r="F627" s="131"/>
      <c r="G627" s="131"/>
      <c r="H627" s="131"/>
      <c r="I627" s="131"/>
      <c r="J627" s="131"/>
      <c r="K627" s="131"/>
      <c r="L627" s="57">
        <f>IF(Source!Y402=0, "", Source!Y402)</f>
        <v>3489.76</v>
      </c>
    </row>
    <row r="628" spans="1:12" ht="14.25">
      <c r="C628" s="131" t="str">
        <f>Source!H403</f>
        <v>ИТОГО с НДС</v>
      </c>
      <c r="D628" s="131"/>
      <c r="E628" s="131"/>
      <c r="F628" s="131"/>
      <c r="G628" s="131"/>
      <c r="H628" s="131"/>
      <c r="I628" s="131"/>
      <c r="J628" s="131"/>
      <c r="K628" s="131"/>
      <c r="L628" s="57">
        <f>IF(Source!Y403=0, "", Source!Y403)</f>
        <v>20938.55</v>
      </c>
    </row>
    <row r="630" spans="1:12" ht="15">
      <c r="A630" s="66"/>
      <c r="B630" s="67"/>
      <c r="C630" s="132" t="s">
        <v>560</v>
      </c>
      <c r="D630" s="132"/>
      <c r="E630" s="132"/>
      <c r="F630" s="132"/>
      <c r="G630" s="132"/>
      <c r="H630" s="132"/>
      <c r="I630" s="68"/>
      <c r="J630" s="66"/>
      <c r="K630" s="69"/>
      <c r="L630" s="68"/>
    </row>
    <row r="632" spans="1:12" ht="15">
      <c r="A632" s="62"/>
      <c r="B632" s="63"/>
      <c r="C632" s="129" t="s">
        <v>561</v>
      </c>
      <c r="D632" s="129"/>
      <c r="E632" s="129"/>
      <c r="F632" s="129"/>
      <c r="G632" s="129"/>
      <c r="H632" s="129"/>
      <c r="I632" s="49"/>
      <c r="J632" s="62"/>
      <c r="K632" s="64"/>
      <c r="L632" s="49">
        <f>L634+L649+L650</f>
        <v>2957608.93</v>
      </c>
    </row>
    <row r="633" spans="1:12" ht="14.25">
      <c r="A633" s="59"/>
      <c r="B633" s="61"/>
      <c r="C633" s="128" t="s">
        <v>502</v>
      </c>
      <c r="D633" s="127"/>
      <c r="E633" s="127"/>
      <c r="F633" s="127"/>
      <c r="G633" s="127"/>
      <c r="H633" s="127"/>
      <c r="I633" s="48"/>
      <c r="J633" s="59"/>
      <c r="K633" s="45"/>
      <c r="L633" s="48"/>
    </row>
    <row r="634" spans="1:12" ht="14.25">
      <c r="A634" s="59"/>
      <c r="B634" s="61"/>
      <c r="C634" s="127" t="s">
        <v>562</v>
      </c>
      <c r="D634" s="127"/>
      <c r="E634" s="127"/>
      <c r="F634" s="127"/>
      <c r="G634" s="127"/>
      <c r="H634" s="127"/>
      <c r="I634" s="48"/>
      <c r="J634" s="59"/>
      <c r="K634" s="45"/>
      <c r="L634" s="48">
        <f>L636+L637+L643+L647</f>
        <v>2957608.93</v>
      </c>
    </row>
    <row r="635" spans="1:12" ht="14.25">
      <c r="A635" s="59"/>
      <c r="B635" s="61"/>
      <c r="C635" s="128" t="s">
        <v>502</v>
      </c>
      <c r="D635" s="127"/>
      <c r="E635" s="127"/>
      <c r="F635" s="127"/>
      <c r="G635" s="127"/>
      <c r="H635" s="127"/>
      <c r="I635" s="48"/>
      <c r="J635" s="59"/>
      <c r="K635" s="45"/>
      <c r="L635" s="48"/>
    </row>
    <row r="636" spans="1:12" ht="14.25" hidden="1">
      <c r="A636" s="59"/>
      <c r="B636" s="61"/>
      <c r="C636" s="127" t="s">
        <v>563</v>
      </c>
      <c r="D636" s="127"/>
      <c r="E636" s="127"/>
      <c r="F636" s="127"/>
      <c r="G636" s="127"/>
      <c r="H636" s="127"/>
      <c r="I636" s="48"/>
      <c r="J636" s="59"/>
      <c r="K636" s="45"/>
      <c r="L636" s="48">
        <f>SUMIF(CD52:CD628, 1, AR52:AR628)</f>
        <v>0</v>
      </c>
    </row>
    <row r="637" spans="1:12" ht="14.25" hidden="1">
      <c r="A637" s="59"/>
      <c r="B637" s="61"/>
      <c r="C637" s="127" t="s">
        <v>504</v>
      </c>
      <c r="D637" s="127"/>
      <c r="E637" s="127"/>
      <c r="F637" s="127"/>
      <c r="G637" s="127"/>
      <c r="H637" s="127"/>
      <c r="I637" s="48"/>
      <c r="J637" s="59"/>
      <c r="K637" s="45"/>
      <c r="L637" s="48">
        <f>L639+L642+L641</f>
        <v>0</v>
      </c>
    </row>
    <row r="638" spans="1:12" ht="14.25" hidden="1">
      <c r="A638" s="59"/>
      <c r="B638" s="61"/>
      <c r="C638" s="128" t="s">
        <v>505</v>
      </c>
      <c r="D638" s="127"/>
      <c r="E638" s="127"/>
      <c r="F638" s="127"/>
      <c r="G638" s="127"/>
      <c r="H638" s="127"/>
      <c r="I638" s="48"/>
      <c r="J638" s="59"/>
      <c r="K638" s="45"/>
      <c r="L638" s="48"/>
    </row>
    <row r="639" spans="1:12" ht="14.25" hidden="1">
      <c r="A639" s="59"/>
      <c r="B639" s="61"/>
      <c r="C639" s="127" t="s">
        <v>504</v>
      </c>
      <c r="D639" s="127"/>
      <c r="E639" s="127"/>
      <c r="F639" s="127"/>
      <c r="G639" s="127"/>
      <c r="H639" s="127"/>
      <c r="I639" s="48"/>
      <c r="J639" s="59"/>
      <c r="K639" s="45"/>
      <c r="L639" s="48">
        <f>SUMIF(CD52:CD628, 1, AO52:AO628)</f>
        <v>0</v>
      </c>
    </row>
    <row r="640" spans="1:12" ht="14.25" hidden="1">
      <c r="A640" s="59"/>
      <c r="B640" s="61"/>
      <c r="C640" s="128" t="s">
        <v>506</v>
      </c>
      <c r="D640" s="127"/>
      <c r="E640" s="127"/>
      <c r="F640" s="127"/>
      <c r="G640" s="127"/>
      <c r="H640" s="127"/>
      <c r="I640" s="48"/>
      <c r="J640" s="59"/>
      <c r="K640" s="45"/>
      <c r="L640" s="48"/>
    </row>
    <row r="641" spans="1:12" ht="14.25" hidden="1">
      <c r="A641" s="59"/>
      <c r="B641" s="61"/>
      <c r="C641" s="127" t="s">
        <v>526</v>
      </c>
      <c r="D641" s="127"/>
      <c r="E641" s="127"/>
      <c r="F641" s="127"/>
      <c r="G641" s="127"/>
      <c r="H641" s="127"/>
      <c r="I641" s="48"/>
      <c r="J641" s="59"/>
      <c r="K641" s="45"/>
      <c r="L641" s="48">
        <f>SUMIF(CD52:CD628, 1, AT52:AT628)</f>
        <v>0</v>
      </c>
    </row>
    <row r="642" spans="1:12" ht="14.25" hidden="1">
      <c r="A642" s="59"/>
      <c r="B642" s="61"/>
      <c r="C642" s="127" t="s">
        <v>507</v>
      </c>
      <c r="D642" s="127"/>
      <c r="E642" s="127"/>
      <c r="F642" s="127"/>
      <c r="G642" s="127"/>
      <c r="H642" s="127"/>
      <c r="I642" s="48"/>
      <c r="J642" s="59"/>
      <c r="K642" s="45"/>
      <c r="L642" s="48">
        <f>SUMIF(CD52:CD628, 1, AV52:AV628)</f>
        <v>0</v>
      </c>
    </row>
    <row r="643" spans="1:12" ht="14.25">
      <c r="A643" s="59"/>
      <c r="B643" s="61"/>
      <c r="C643" s="127" t="s">
        <v>508</v>
      </c>
      <c r="D643" s="127"/>
      <c r="E643" s="127"/>
      <c r="F643" s="127"/>
      <c r="G643" s="127"/>
      <c r="H643" s="127"/>
      <c r="I643" s="48"/>
      <c r="J643" s="59"/>
      <c r="K643" s="45"/>
      <c r="L643" s="48">
        <f>L645+L646</f>
        <v>2957608.93</v>
      </c>
    </row>
    <row r="644" spans="1:12" ht="14.25">
      <c r="A644" s="59"/>
      <c r="B644" s="61"/>
      <c r="C644" s="128" t="s">
        <v>505</v>
      </c>
      <c r="D644" s="127"/>
      <c r="E644" s="127"/>
      <c r="F644" s="127"/>
      <c r="G644" s="127"/>
      <c r="H644" s="127"/>
      <c r="I644" s="48"/>
      <c r="J644" s="59"/>
      <c r="K644" s="45"/>
      <c r="L644" s="48"/>
    </row>
    <row r="645" spans="1:12" ht="14.25">
      <c r="A645" s="59"/>
      <c r="B645" s="61"/>
      <c r="C645" s="127" t="s">
        <v>509</v>
      </c>
      <c r="D645" s="127"/>
      <c r="E645" s="127"/>
      <c r="F645" s="127"/>
      <c r="G645" s="127"/>
      <c r="H645" s="127"/>
      <c r="I645" s="48"/>
      <c r="J645" s="59"/>
      <c r="K645" s="45"/>
      <c r="L645" s="48">
        <f>SUMIF(CD52:CD628, 1, AW52:AW628)-SUMIF(CD52:CD628, 1, BK52:BK628)</f>
        <v>2957608.93</v>
      </c>
    </row>
    <row r="646" spans="1:12" ht="14.25" hidden="1">
      <c r="A646" s="59"/>
      <c r="B646" s="61"/>
      <c r="C646" s="127" t="s">
        <v>510</v>
      </c>
      <c r="D646" s="127"/>
      <c r="E646" s="127"/>
      <c r="F646" s="127"/>
      <c r="G646" s="127"/>
      <c r="H646" s="127"/>
      <c r="I646" s="48"/>
      <c r="J646" s="59"/>
      <c r="K646" s="45"/>
      <c r="L646" s="48">
        <f>SUMIF(CD52:CD628, 1, BC52:BC628)</f>
        <v>0</v>
      </c>
    </row>
    <row r="647" spans="1:12" ht="14.25" hidden="1">
      <c r="A647" s="59"/>
      <c r="B647" s="61"/>
      <c r="C647" s="127" t="s">
        <v>511</v>
      </c>
      <c r="D647" s="127"/>
      <c r="E647" s="127"/>
      <c r="F647" s="127"/>
      <c r="G647" s="127"/>
      <c r="H647" s="127"/>
      <c r="I647" s="48"/>
      <c r="J647" s="59"/>
      <c r="K647" s="45"/>
      <c r="L647" s="48">
        <f>SUMIF(CD52:CD628, 1, BB52:BB628)</f>
        <v>0</v>
      </c>
    </row>
    <row r="648" spans="1:12" ht="14.25" hidden="1">
      <c r="A648" s="59"/>
      <c r="B648" s="61"/>
      <c r="C648" s="127" t="s">
        <v>564</v>
      </c>
      <c r="D648" s="127"/>
      <c r="E648" s="127"/>
      <c r="F648" s="127"/>
      <c r="G648" s="127"/>
      <c r="H648" s="127"/>
      <c r="I648" s="48"/>
      <c r="J648" s="59"/>
      <c r="K648" s="45"/>
      <c r="L648" s="48">
        <f>SUMIF(CD52:CD628, 1, AR52:AR628)+SUMIF(CD52:CD628, 1, AT52:AT628)+SUMIF(CD52:CD628, 1, AV52:AV628)</f>
        <v>0</v>
      </c>
    </row>
    <row r="649" spans="1:12" ht="14.25" hidden="1">
      <c r="A649" s="59"/>
      <c r="B649" s="61"/>
      <c r="C649" s="127" t="s">
        <v>565</v>
      </c>
      <c r="D649" s="127"/>
      <c r="E649" s="127"/>
      <c r="F649" s="127"/>
      <c r="G649" s="127"/>
      <c r="H649" s="127"/>
      <c r="I649" s="48"/>
      <c r="J649" s="59"/>
      <c r="K649" s="45"/>
      <c r="L649" s="48">
        <f>SUMIF(CD52:CD628, 1, AZ52:AZ628)</f>
        <v>0</v>
      </c>
    </row>
    <row r="650" spans="1:12" ht="14.25" hidden="1">
      <c r="A650" s="59"/>
      <c r="B650" s="61"/>
      <c r="C650" s="127" t="s">
        <v>566</v>
      </c>
      <c r="D650" s="127"/>
      <c r="E650" s="127"/>
      <c r="F650" s="127"/>
      <c r="G650" s="127"/>
      <c r="H650" s="127"/>
      <c r="I650" s="48"/>
      <c r="J650" s="59"/>
      <c r="K650" s="45"/>
      <c r="L650" s="48">
        <f>SUMIF(CD52:CD628, 1, BA52:BA628)</f>
        <v>0</v>
      </c>
    </row>
    <row r="652" spans="1:12" ht="15">
      <c r="A652" s="62"/>
      <c r="B652" s="63"/>
      <c r="C652" s="129" t="s">
        <v>567</v>
      </c>
      <c r="D652" s="129"/>
      <c r="E652" s="129"/>
      <c r="F652" s="129"/>
      <c r="G652" s="129"/>
      <c r="H652" s="129"/>
      <c r="I652" s="49"/>
      <c r="J652" s="62"/>
      <c r="K652" s="64"/>
      <c r="L652" s="49">
        <f>L654+L669+L670</f>
        <v>237366.03</v>
      </c>
    </row>
    <row r="653" spans="1:12" ht="14.25">
      <c r="A653" s="59"/>
      <c r="B653" s="61"/>
      <c r="C653" s="128" t="s">
        <v>502</v>
      </c>
      <c r="D653" s="127"/>
      <c r="E653" s="127"/>
      <c r="F653" s="127"/>
      <c r="G653" s="127"/>
      <c r="H653" s="127"/>
      <c r="I653" s="48"/>
      <c r="J653" s="59"/>
      <c r="K653" s="45"/>
      <c r="L653" s="48"/>
    </row>
    <row r="654" spans="1:12" ht="14.25">
      <c r="A654" s="59"/>
      <c r="B654" s="61"/>
      <c r="C654" s="127" t="s">
        <v>562</v>
      </c>
      <c r="D654" s="127"/>
      <c r="E654" s="127"/>
      <c r="F654" s="127"/>
      <c r="G654" s="127"/>
      <c r="H654" s="127"/>
      <c r="I654" s="48"/>
      <c r="J654" s="59"/>
      <c r="K654" s="45"/>
      <c r="L654" s="48">
        <f>L656+L657+L663+L667</f>
        <v>107724.72</v>
      </c>
    </row>
    <row r="655" spans="1:12" ht="14.25">
      <c r="A655" s="59"/>
      <c r="B655" s="61"/>
      <c r="C655" s="128" t="s">
        <v>502</v>
      </c>
      <c r="D655" s="127"/>
      <c r="E655" s="127"/>
      <c r="F655" s="127"/>
      <c r="G655" s="127"/>
      <c r="H655" s="127"/>
      <c r="I655" s="48"/>
      <c r="J655" s="59"/>
      <c r="K655" s="45"/>
      <c r="L655" s="48"/>
    </row>
    <row r="656" spans="1:12" ht="14.25">
      <c r="A656" s="59"/>
      <c r="B656" s="61"/>
      <c r="C656" s="127" t="s">
        <v>563</v>
      </c>
      <c r="D656" s="127"/>
      <c r="E656" s="127"/>
      <c r="F656" s="127"/>
      <c r="G656" s="127"/>
      <c r="H656" s="127"/>
      <c r="I656" s="48"/>
      <c r="J656" s="59"/>
      <c r="K656" s="45"/>
      <c r="L656" s="48">
        <f>SUMIF(CD52:CD650, 2, AR52:AR650)</f>
        <v>86678.03</v>
      </c>
    </row>
    <row r="657" spans="1:12" ht="14.25" hidden="1">
      <c r="A657" s="59"/>
      <c r="B657" s="61"/>
      <c r="C657" s="127" t="s">
        <v>504</v>
      </c>
      <c r="D657" s="127"/>
      <c r="E657" s="127"/>
      <c r="F657" s="127"/>
      <c r="G657" s="127"/>
      <c r="H657" s="127"/>
      <c r="I657" s="48"/>
      <c r="J657" s="59"/>
      <c r="K657" s="45"/>
      <c r="L657" s="48">
        <f>L659+L662+L661</f>
        <v>8058.1999999999989</v>
      </c>
    </row>
    <row r="658" spans="1:12" ht="14.25" hidden="1">
      <c r="A658" s="59"/>
      <c r="B658" s="61"/>
      <c r="C658" s="128" t="s">
        <v>505</v>
      </c>
      <c r="D658" s="127"/>
      <c r="E658" s="127"/>
      <c r="F658" s="127"/>
      <c r="G658" s="127"/>
      <c r="H658" s="127"/>
      <c r="I658" s="48"/>
      <c r="J658" s="59"/>
      <c r="K658" s="45"/>
      <c r="L658" s="48"/>
    </row>
    <row r="659" spans="1:12" ht="14.25">
      <c r="A659" s="59"/>
      <c r="B659" s="61"/>
      <c r="C659" s="127" t="s">
        <v>504</v>
      </c>
      <c r="D659" s="127"/>
      <c r="E659" s="127"/>
      <c r="F659" s="127"/>
      <c r="G659" s="127"/>
      <c r="H659" s="127"/>
      <c r="I659" s="48"/>
      <c r="J659" s="59"/>
      <c r="K659" s="45"/>
      <c r="L659" s="48">
        <f>SUMIF(CD52:CD650, 2, AO52:AO650)</f>
        <v>5934.6599999999989</v>
      </c>
    </row>
    <row r="660" spans="1:12" ht="14.25" hidden="1">
      <c r="A660" s="59"/>
      <c r="B660" s="61"/>
      <c r="C660" s="128" t="s">
        <v>506</v>
      </c>
      <c r="D660" s="127"/>
      <c r="E660" s="127"/>
      <c r="F660" s="127"/>
      <c r="G660" s="127"/>
      <c r="H660" s="127"/>
      <c r="I660" s="48"/>
      <c r="J660" s="59"/>
      <c r="K660" s="45"/>
      <c r="L660" s="48"/>
    </row>
    <row r="661" spans="1:12" ht="14.25">
      <c r="A661" s="59"/>
      <c r="B661" s="61"/>
      <c r="C661" s="127" t="s">
        <v>526</v>
      </c>
      <c r="D661" s="127"/>
      <c r="E661" s="127"/>
      <c r="F661" s="127"/>
      <c r="G661" s="127"/>
      <c r="H661" s="127"/>
      <c r="I661" s="48"/>
      <c r="J661" s="59"/>
      <c r="K661" s="45"/>
      <c r="L661" s="48">
        <f>SUMIF(CD52:CD650, 2, AT52:AT650)</f>
        <v>2123.5400000000004</v>
      </c>
    </row>
    <row r="662" spans="1:12" ht="14.25" hidden="1">
      <c r="A662" s="59"/>
      <c r="B662" s="61"/>
      <c r="C662" s="127" t="s">
        <v>507</v>
      </c>
      <c r="D662" s="127"/>
      <c r="E662" s="127"/>
      <c r="F662" s="127"/>
      <c r="G662" s="127"/>
      <c r="H662" s="127"/>
      <c r="I662" s="48"/>
      <c r="J662" s="59"/>
      <c r="K662" s="45"/>
      <c r="L662" s="48">
        <f>SUMIF(CD52:CD650, 2, AV52:AV650)</f>
        <v>0</v>
      </c>
    </row>
    <row r="663" spans="1:12" ht="14.25">
      <c r="A663" s="59"/>
      <c r="B663" s="61"/>
      <c r="C663" s="127" t="s">
        <v>508</v>
      </c>
      <c r="D663" s="127"/>
      <c r="E663" s="127"/>
      <c r="F663" s="127"/>
      <c r="G663" s="127"/>
      <c r="H663" s="127"/>
      <c r="I663" s="48"/>
      <c r="J663" s="59"/>
      <c r="K663" s="45"/>
      <c r="L663" s="48">
        <f>L665+L666</f>
        <v>12988.490000000002</v>
      </c>
    </row>
    <row r="664" spans="1:12" ht="14.25">
      <c r="A664" s="59"/>
      <c r="B664" s="61"/>
      <c r="C664" s="128" t="s">
        <v>505</v>
      </c>
      <c r="D664" s="127"/>
      <c r="E664" s="127"/>
      <c r="F664" s="127"/>
      <c r="G664" s="127"/>
      <c r="H664" s="127"/>
      <c r="I664" s="48"/>
      <c r="J664" s="59"/>
      <c r="K664" s="45"/>
      <c r="L664" s="48"/>
    </row>
    <row r="665" spans="1:12" ht="14.25">
      <c r="A665" s="59"/>
      <c r="B665" s="61"/>
      <c r="C665" s="127" t="s">
        <v>509</v>
      </c>
      <c r="D665" s="127"/>
      <c r="E665" s="127"/>
      <c r="F665" s="127"/>
      <c r="G665" s="127"/>
      <c r="H665" s="127"/>
      <c r="I665" s="48"/>
      <c r="J665" s="59"/>
      <c r="K665" s="45"/>
      <c r="L665" s="48">
        <f>SUMIF(CD52:CD650, 2, AW52:AW650)-SUMIF(CD52:CD650, 2, BK52:BK650)</f>
        <v>12988.490000000002</v>
      </c>
    </row>
    <row r="666" spans="1:12" ht="14.25" hidden="1">
      <c r="A666" s="59"/>
      <c r="B666" s="61"/>
      <c r="C666" s="127" t="s">
        <v>510</v>
      </c>
      <c r="D666" s="127"/>
      <c r="E666" s="127"/>
      <c r="F666" s="127"/>
      <c r="G666" s="127"/>
      <c r="H666" s="127"/>
      <c r="I666" s="48"/>
      <c r="J666" s="59"/>
      <c r="K666" s="45"/>
      <c r="L666" s="48">
        <f>SUMIF(CD52:CD650, 2, BC52:BC650)</f>
        <v>0</v>
      </c>
    </row>
    <row r="667" spans="1:12" ht="14.25" hidden="1">
      <c r="A667" s="59"/>
      <c r="B667" s="61"/>
      <c r="C667" s="127" t="s">
        <v>511</v>
      </c>
      <c r="D667" s="127"/>
      <c r="E667" s="127"/>
      <c r="F667" s="127"/>
      <c r="G667" s="127"/>
      <c r="H667" s="127"/>
      <c r="I667" s="48"/>
      <c r="J667" s="59"/>
      <c r="K667" s="45"/>
      <c r="L667" s="48">
        <f>SUMIF(CD52:CD650, 2, BB52:BB650)</f>
        <v>0</v>
      </c>
    </row>
    <row r="668" spans="1:12" ht="14.25">
      <c r="A668" s="59"/>
      <c r="B668" s="61"/>
      <c r="C668" s="127" t="s">
        <v>564</v>
      </c>
      <c r="D668" s="127"/>
      <c r="E668" s="127"/>
      <c r="F668" s="127"/>
      <c r="G668" s="127"/>
      <c r="H668" s="127"/>
      <c r="I668" s="48"/>
      <c r="J668" s="59"/>
      <c r="K668" s="45"/>
      <c r="L668" s="48">
        <f>SUMIF(CD52:CD650, 2, AR52:AR650)+SUMIF(CD52:CD650, 2, AT52:AT650)+SUMIF(CD52:CD650, 2, AV52:AV650)</f>
        <v>88801.569999999992</v>
      </c>
    </row>
    <row r="669" spans="1:12" ht="14.25">
      <c r="A669" s="59"/>
      <c r="B669" s="61"/>
      <c r="C669" s="127" t="s">
        <v>565</v>
      </c>
      <c r="D669" s="127"/>
      <c r="E669" s="127"/>
      <c r="F669" s="127"/>
      <c r="G669" s="127"/>
      <c r="H669" s="127"/>
      <c r="I669" s="48"/>
      <c r="J669" s="59"/>
      <c r="K669" s="45"/>
      <c r="L669" s="48">
        <f>SUMIF(CD52:CD650, 2, AZ52:AZ650)</f>
        <v>85096.280000000013</v>
      </c>
    </row>
    <row r="670" spans="1:12" ht="14.25">
      <c r="A670" s="59"/>
      <c r="B670" s="61"/>
      <c r="C670" s="127" t="s">
        <v>566</v>
      </c>
      <c r="D670" s="127"/>
      <c r="E670" s="127"/>
      <c r="F670" s="127"/>
      <c r="G670" s="127"/>
      <c r="H670" s="127"/>
      <c r="I670" s="48"/>
      <c r="J670" s="59"/>
      <c r="K670" s="45"/>
      <c r="L670" s="48">
        <f>SUMIF(CD52:CD650, 2, BA52:BA650)</f>
        <v>44545.03</v>
      </c>
    </row>
    <row r="671" spans="1:12" hidden="1"/>
    <row r="672" spans="1:12" ht="15" hidden="1">
      <c r="A672" s="62"/>
      <c r="B672" s="63"/>
      <c r="C672" s="129" t="s">
        <v>568</v>
      </c>
      <c r="D672" s="129"/>
      <c r="E672" s="129"/>
      <c r="F672" s="129"/>
      <c r="G672" s="129"/>
      <c r="H672" s="129"/>
      <c r="I672" s="49"/>
      <c r="J672" s="62"/>
      <c r="K672" s="64"/>
      <c r="L672" s="49">
        <f>L674+L675</f>
        <v>0</v>
      </c>
    </row>
    <row r="673" spans="1:12" ht="14.25" hidden="1">
      <c r="A673" s="59"/>
      <c r="B673" s="61"/>
      <c r="C673" s="128" t="s">
        <v>502</v>
      </c>
      <c r="D673" s="127"/>
      <c r="E673" s="127"/>
      <c r="F673" s="127"/>
      <c r="G673" s="127"/>
      <c r="H673" s="127"/>
      <c r="I673" s="48"/>
      <c r="J673" s="59"/>
      <c r="K673" s="45"/>
      <c r="L673" s="48"/>
    </row>
    <row r="674" spans="1:12" ht="14.25" hidden="1">
      <c r="A674" s="59"/>
      <c r="B674" s="61"/>
      <c r="C674" s="127" t="s">
        <v>516</v>
      </c>
      <c r="D674" s="127"/>
      <c r="E674" s="127"/>
      <c r="F674" s="127"/>
      <c r="G674" s="127"/>
      <c r="H674" s="127"/>
      <c r="I674" s="48"/>
      <c r="J674" s="59"/>
      <c r="K674" s="45"/>
      <c r="L674" s="48">
        <f>SUMIF(CD52:CD670, 3, BK52:BK670)</f>
        <v>0</v>
      </c>
    </row>
    <row r="675" spans="1:12" ht="14.25" hidden="1">
      <c r="A675" s="59"/>
      <c r="B675" s="61"/>
      <c r="C675" s="127" t="s">
        <v>517</v>
      </c>
      <c r="D675" s="127"/>
      <c r="E675" s="127"/>
      <c r="F675" s="127"/>
      <c r="G675" s="127"/>
      <c r="H675" s="127"/>
      <c r="I675" s="48"/>
      <c r="J675" s="59"/>
      <c r="K675" s="45"/>
      <c r="L675" s="48">
        <f>SUMIF(CD52:CD670, 3, BD52:BD670)</f>
        <v>0</v>
      </c>
    </row>
    <row r="677" spans="1:12" ht="15">
      <c r="A677" s="62"/>
      <c r="B677" s="63"/>
      <c r="C677" s="129" t="s">
        <v>569</v>
      </c>
      <c r="D677" s="129"/>
      <c r="E677" s="129"/>
      <c r="F677" s="129"/>
      <c r="G677" s="129"/>
      <c r="H677" s="129"/>
      <c r="I677" s="49"/>
      <c r="J677" s="62"/>
      <c r="K677" s="64"/>
      <c r="L677" s="49">
        <f>L683+L698+L699+L679+L680</f>
        <v>19182.349999999999</v>
      </c>
    </row>
    <row r="678" spans="1:12" ht="14.25">
      <c r="A678" s="59"/>
      <c r="B678" s="61"/>
      <c r="C678" s="128" t="s">
        <v>502</v>
      </c>
      <c r="D678" s="127"/>
      <c r="E678" s="127"/>
      <c r="F678" s="127"/>
      <c r="G678" s="127"/>
      <c r="H678" s="127"/>
      <c r="I678" s="48"/>
      <c r="J678" s="59"/>
      <c r="K678" s="45"/>
      <c r="L678" s="48"/>
    </row>
    <row r="679" spans="1:12" ht="14.25" hidden="1">
      <c r="A679" s="59"/>
      <c r="B679" s="61"/>
      <c r="C679" s="127" t="s">
        <v>570</v>
      </c>
      <c r="D679" s="127"/>
      <c r="E679" s="127"/>
      <c r="F679" s="127"/>
      <c r="G679" s="127"/>
      <c r="H679" s="127"/>
      <c r="I679" s="48"/>
      <c r="J679" s="59"/>
      <c r="K679" s="45"/>
      <c r="L679" s="48"/>
    </row>
    <row r="680" spans="1:12" ht="14.25" hidden="1">
      <c r="A680" s="59"/>
      <c r="B680" s="61"/>
      <c r="C680" s="127" t="s">
        <v>571</v>
      </c>
      <c r="D680" s="127"/>
      <c r="E680" s="127"/>
      <c r="F680" s="127"/>
      <c r="G680" s="127"/>
      <c r="H680" s="127"/>
      <c r="I680" s="48"/>
      <c r="J680" s="59"/>
      <c r="K680" s="45"/>
      <c r="L680" s="48">
        <f>SUM(BO52:BO675)</f>
        <v>0</v>
      </c>
    </row>
    <row r="681" spans="1:12" ht="14.25">
      <c r="A681" s="59"/>
      <c r="B681" s="61"/>
      <c r="C681" s="127" t="s">
        <v>230</v>
      </c>
      <c r="D681" s="127"/>
      <c r="E681" s="127"/>
      <c r="F681" s="127"/>
      <c r="G681" s="127"/>
      <c r="H681" s="127"/>
      <c r="I681" s="48"/>
      <c r="J681" s="59"/>
      <c r="K681" s="45"/>
      <c r="L681" s="48">
        <f>L683+L698+L699</f>
        <v>19182.349999999999</v>
      </c>
    </row>
    <row r="682" spans="1:12" ht="14.25">
      <c r="A682" s="59"/>
      <c r="B682" s="61"/>
      <c r="C682" s="128" t="s">
        <v>502</v>
      </c>
      <c r="D682" s="127"/>
      <c r="E682" s="127"/>
      <c r="F682" s="127"/>
      <c r="G682" s="127"/>
      <c r="H682" s="127"/>
      <c r="I682" s="48"/>
      <c r="J682" s="59"/>
      <c r="K682" s="45"/>
      <c r="L682" s="48"/>
    </row>
    <row r="683" spans="1:12" ht="14.25">
      <c r="A683" s="59"/>
      <c r="B683" s="61"/>
      <c r="C683" s="127" t="s">
        <v>562</v>
      </c>
      <c r="D683" s="127"/>
      <c r="E683" s="127"/>
      <c r="F683" s="127"/>
      <c r="G683" s="127"/>
      <c r="H683" s="127"/>
      <c r="I683" s="48"/>
      <c r="J683" s="59"/>
      <c r="K683" s="45"/>
      <c r="L683" s="48">
        <f>L685+L686+L692+L696</f>
        <v>10042.509999999998</v>
      </c>
    </row>
    <row r="684" spans="1:12" ht="14.25">
      <c r="A684" s="59"/>
      <c r="B684" s="61"/>
      <c r="C684" s="128" t="s">
        <v>502</v>
      </c>
      <c r="D684" s="127"/>
      <c r="E684" s="127"/>
      <c r="F684" s="127"/>
      <c r="G684" s="127"/>
      <c r="H684" s="127"/>
      <c r="I684" s="48"/>
      <c r="J684" s="59"/>
      <c r="K684" s="45"/>
      <c r="L684" s="48"/>
    </row>
    <row r="685" spans="1:12" ht="14.25">
      <c r="A685" s="59"/>
      <c r="B685" s="61"/>
      <c r="C685" s="127" t="s">
        <v>563</v>
      </c>
      <c r="D685" s="127"/>
      <c r="E685" s="127"/>
      <c r="F685" s="127"/>
      <c r="G685" s="127"/>
      <c r="H685" s="127"/>
      <c r="I685" s="48"/>
      <c r="J685" s="59"/>
      <c r="K685" s="45"/>
      <c r="L685" s="48">
        <f>SUMIF(CD52:CD675, 4, AR52:AR675)</f>
        <v>8308.9499999999989</v>
      </c>
    </row>
    <row r="686" spans="1:12" ht="14.25" hidden="1">
      <c r="A686" s="59"/>
      <c r="B686" s="61"/>
      <c r="C686" s="127" t="s">
        <v>504</v>
      </c>
      <c r="D686" s="127"/>
      <c r="E686" s="127"/>
      <c r="F686" s="127"/>
      <c r="G686" s="127"/>
      <c r="H686" s="127"/>
      <c r="I686" s="48"/>
      <c r="J686" s="59"/>
      <c r="K686" s="45"/>
      <c r="L686" s="48">
        <f>L688+L691+L690</f>
        <v>0</v>
      </c>
    </row>
    <row r="687" spans="1:12" ht="14.25" hidden="1">
      <c r="A687" s="59"/>
      <c r="B687" s="61"/>
      <c r="C687" s="128" t="s">
        <v>505</v>
      </c>
      <c r="D687" s="127"/>
      <c r="E687" s="127"/>
      <c r="F687" s="127"/>
      <c r="G687" s="127"/>
      <c r="H687" s="127"/>
      <c r="I687" s="48"/>
      <c r="J687" s="59"/>
      <c r="K687" s="45"/>
      <c r="L687" s="48"/>
    </row>
    <row r="688" spans="1:12" ht="14.25" hidden="1">
      <c r="A688" s="59"/>
      <c r="B688" s="61"/>
      <c r="C688" s="127" t="s">
        <v>504</v>
      </c>
      <c r="D688" s="127"/>
      <c r="E688" s="127"/>
      <c r="F688" s="127"/>
      <c r="G688" s="127"/>
      <c r="H688" s="127"/>
      <c r="I688" s="48"/>
      <c r="J688" s="59"/>
      <c r="K688" s="45"/>
      <c r="L688" s="48">
        <f>SUMIF(CD52:CD675, 4, AO52:AO675)</f>
        <v>0</v>
      </c>
    </row>
    <row r="689" spans="1:12" ht="14.25" hidden="1">
      <c r="A689" s="59"/>
      <c r="B689" s="61"/>
      <c r="C689" s="128" t="s">
        <v>506</v>
      </c>
      <c r="D689" s="127"/>
      <c r="E689" s="127"/>
      <c r="F689" s="127"/>
      <c r="G689" s="127"/>
      <c r="H689" s="127"/>
      <c r="I689" s="48"/>
      <c r="J689" s="59"/>
      <c r="K689" s="45"/>
      <c r="L689" s="48"/>
    </row>
    <row r="690" spans="1:12" ht="14.25" hidden="1">
      <c r="A690" s="59"/>
      <c r="B690" s="61"/>
      <c r="C690" s="127" t="s">
        <v>526</v>
      </c>
      <c r="D690" s="127"/>
      <c r="E690" s="127"/>
      <c r="F690" s="127"/>
      <c r="G690" s="127"/>
      <c r="H690" s="127"/>
      <c r="I690" s="48"/>
      <c r="J690" s="59"/>
      <c r="K690" s="45"/>
      <c r="L690" s="48">
        <f>SUMIF(CD52:CD675, 4, AT52:AT675)</f>
        <v>0</v>
      </c>
    </row>
    <row r="691" spans="1:12" ht="14.25" hidden="1">
      <c r="A691" s="59"/>
      <c r="B691" s="61"/>
      <c r="C691" s="127" t="s">
        <v>507</v>
      </c>
      <c r="D691" s="127"/>
      <c r="E691" s="127"/>
      <c r="F691" s="127"/>
      <c r="G691" s="127"/>
      <c r="H691" s="127"/>
      <c r="I691" s="48"/>
      <c r="J691" s="59"/>
      <c r="K691" s="45"/>
      <c r="L691" s="48">
        <f>SUMIF(CD52:CD675, 4, AV52:AV675)</f>
        <v>0</v>
      </c>
    </row>
    <row r="692" spans="1:12" ht="14.25">
      <c r="A692" s="59"/>
      <c r="B692" s="61"/>
      <c r="C692" s="127" t="s">
        <v>508</v>
      </c>
      <c r="D692" s="127"/>
      <c r="E692" s="127"/>
      <c r="F692" s="127"/>
      <c r="G692" s="127"/>
      <c r="H692" s="127"/>
      <c r="I692" s="48"/>
      <c r="J692" s="59"/>
      <c r="K692" s="45"/>
      <c r="L692" s="48">
        <f>L694+L695</f>
        <v>1733.5600000000002</v>
      </c>
    </row>
    <row r="693" spans="1:12" ht="14.25">
      <c r="A693" s="59"/>
      <c r="B693" s="61"/>
      <c r="C693" s="128" t="s">
        <v>505</v>
      </c>
      <c r="D693" s="127"/>
      <c r="E693" s="127"/>
      <c r="F693" s="127"/>
      <c r="G693" s="127"/>
      <c r="H693" s="127"/>
      <c r="I693" s="48"/>
      <c r="J693" s="59"/>
      <c r="K693" s="45"/>
      <c r="L693" s="48"/>
    </row>
    <row r="694" spans="1:12" ht="14.25">
      <c r="A694" s="59"/>
      <c r="B694" s="61"/>
      <c r="C694" s="127" t="s">
        <v>509</v>
      </c>
      <c r="D694" s="127"/>
      <c r="E694" s="127"/>
      <c r="F694" s="127"/>
      <c r="G694" s="127"/>
      <c r="H694" s="127"/>
      <c r="I694" s="48"/>
      <c r="J694" s="59"/>
      <c r="K694" s="45"/>
      <c r="L694" s="48">
        <f>SUMIF(CD52:CD675, 4, AW52:AW675)-SUMIF(CD52:CD675, 4, BK52:BK675)</f>
        <v>1733.5600000000002</v>
      </c>
    </row>
    <row r="695" spans="1:12" ht="14.25" hidden="1">
      <c r="A695" s="59"/>
      <c r="B695" s="61"/>
      <c r="C695" s="127" t="s">
        <v>510</v>
      </c>
      <c r="D695" s="127"/>
      <c r="E695" s="127"/>
      <c r="F695" s="127"/>
      <c r="G695" s="127"/>
      <c r="H695" s="127"/>
      <c r="I695" s="48"/>
      <c r="J695" s="59"/>
      <c r="K695" s="45"/>
      <c r="L695" s="48">
        <f>SUMIF(CD52:CD675, 4, BC52:BC675)</f>
        <v>0</v>
      </c>
    </row>
    <row r="696" spans="1:12" ht="14.25" hidden="1">
      <c r="A696" s="59"/>
      <c r="B696" s="61"/>
      <c r="C696" s="127" t="s">
        <v>511</v>
      </c>
      <c r="D696" s="127"/>
      <c r="E696" s="127"/>
      <c r="F696" s="127"/>
      <c r="G696" s="127"/>
      <c r="H696" s="127"/>
      <c r="I696" s="48"/>
      <c r="J696" s="59"/>
      <c r="K696" s="45"/>
      <c r="L696" s="48">
        <f>SUMIF(CD52:CD675, 4, BB52:BB675)</f>
        <v>0</v>
      </c>
    </row>
    <row r="697" spans="1:12" ht="14.25">
      <c r="A697" s="59"/>
      <c r="B697" s="61"/>
      <c r="C697" s="127" t="s">
        <v>564</v>
      </c>
      <c r="D697" s="127"/>
      <c r="E697" s="127"/>
      <c r="F697" s="127"/>
      <c r="G697" s="127"/>
      <c r="H697" s="127"/>
      <c r="I697" s="48"/>
      <c r="J697" s="59"/>
      <c r="K697" s="45"/>
      <c r="L697" s="48">
        <f>SUMIF(CD52:CD675, 4, AR52:AR675)+SUMIF(CD52:CD675, 4, AT52:AT675)+SUMIF(CD52:CD675, 4, AV52:AV675)</f>
        <v>8308.9499999999989</v>
      </c>
    </row>
    <row r="698" spans="1:12" ht="14.25">
      <c r="A698" s="59"/>
      <c r="B698" s="61"/>
      <c r="C698" s="127" t="s">
        <v>565</v>
      </c>
      <c r="D698" s="127"/>
      <c r="E698" s="127"/>
      <c r="F698" s="127"/>
      <c r="G698" s="127"/>
      <c r="H698" s="127"/>
      <c r="I698" s="48"/>
      <c r="J698" s="59"/>
      <c r="K698" s="45"/>
      <c r="L698" s="48">
        <f>SUMIF(CD52:CD675, 4, AZ52:AZ675)</f>
        <v>6148.62</v>
      </c>
    </row>
    <row r="699" spans="1:12" ht="14.25">
      <c r="A699" s="59"/>
      <c r="B699" s="61"/>
      <c r="C699" s="127" t="s">
        <v>566</v>
      </c>
      <c r="D699" s="127"/>
      <c r="E699" s="127"/>
      <c r="F699" s="127"/>
      <c r="G699" s="127"/>
      <c r="H699" s="127"/>
      <c r="I699" s="48"/>
      <c r="J699" s="59"/>
      <c r="K699" s="45"/>
      <c r="L699" s="48">
        <f>SUMIF(CD52:CD675, 4, BA52:BA675)</f>
        <v>2991.22</v>
      </c>
    </row>
    <row r="701" spans="1:12" ht="15">
      <c r="A701" s="62"/>
      <c r="B701" s="63"/>
      <c r="C701" s="129" t="s">
        <v>572</v>
      </c>
      <c r="D701" s="129"/>
      <c r="E701" s="129"/>
      <c r="F701" s="129"/>
      <c r="G701" s="129"/>
      <c r="H701" s="129"/>
      <c r="I701" s="49"/>
      <c r="J701" s="62"/>
      <c r="K701" s="64"/>
      <c r="L701" s="49">
        <f>L632+L652+L672+L677</f>
        <v>3214157.31</v>
      </c>
    </row>
    <row r="702" spans="1:12" ht="14.25">
      <c r="A702" s="59"/>
      <c r="B702" s="61"/>
      <c r="C702" s="128" t="s">
        <v>502</v>
      </c>
      <c r="D702" s="127"/>
      <c r="E702" s="127"/>
      <c r="F702" s="127"/>
      <c r="G702" s="127"/>
      <c r="H702" s="127"/>
      <c r="I702" s="48"/>
      <c r="J702" s="59"/>
      <c r="K702" s="45"/>
      <c r="L702" s="48"/>
    </row>
    <row r="703" spans="1:12" ht="14.25">
      <c r="A703" s="59"/>
      <c r="B703" s="61"/>
      <c r="C703" s="127" t="s">
        <v>562</v>
      </c>
      <c r="D703" s="127"/>
      <c r="E703" s="127"/>
      <c r="F703" s="127"/>
      <c r="G703" s="127"/>
      <c r="H703" s="127"/>
      <c r="I703" s="48"/>
      <c r="J703" s="59"/>
      <c r="K703" s="45"/>
      <c r="L703" s="48">
        <f>L705+L706+L712+L716</f>
        <v>3075376.16</v>
      </c>
    </row>
    <row r="704" spans="1:12" ht="14.25">
      <c r="A704" s="59"/>
      <c r="B704" s="61"/>
      <c r="C704" s="128" t="s">
        <v>502</v>
      </c>
      <c r="D704" s="127"/>
      <c r="E704" s="127"/>
      <c r="F704" s="127"/>
      <c r="G704" s="127"/>
      <c r="H704" s="127"/>
      <c r="I704" s="48"/>
      <c r="J704" s="59"/>
      <c r="K704" s="45"/>
      <c r="L704" s="48"/>
    </row>
    <row r="705" spans="1:12" ht="14.25">
      <c r="A705" s="59"/>
      <c r="B705" s="61"/>
      <c r="C705" s="127" t="s">
        <v>563</v>
      </c>
      <c r="D705" s="127"/>
      <c r="E705" s="127"/>
      <c r="F705" s="127"/>
      <c r="G705" s="127"/>
      <c r="H705" s="127"/>
      <c r="I705" s="48"/>
      <c r="J705" s="59"/>
      <c r="K705" s="45"/>
      <c r="L705" s="48">
        <f>SUM(AR52:AR699)</f>
        <v>94986.98</v>
      </c>
    </row>
    <row r="706" spans="1:12" ht="14.25" hidden="1">
      <c r="A706" s="59"/>
      <c r="B706" s="61"/>
      <c r="C706" s="127" t="s">
        <v>504</v>
      </c>
      <c r="D706" s="127"/>
      <c r="E706" s="127"/>
      <c r="F706" s="127"/>
      <c r="G706" s="127"/>
      <c r="H706" s="127"/>
      <c r="I706" s="48"/>
      <c r="J706" s="59"/>
      <c r="K706" s="45"/>
      <c r="L706" s="48">
        <f>L708+L711+L710</f>
        <v>8058.1999999999989</v>
      </c>
    </row>
    <row r="707" spans="1:12" ht="14.25" hidden="1">
      <c r="A707" s="59"/>
      <c r="B707" s="61"/>
      <c r="C707" s="128" t="s">
        <v>505</v>
      </c>
      <c r="D707" s="127"/>
      <c r="E707" s="127"/>
      <c r="F707" s="127"/>
      <c r="G707" s="127"/>
      <c r="H707" s="127"/>
      <c r="I707" s="48"/>
      <c r="J707" s="59"/>
      <c r="K707" s="45"/>
      <c r="L707" s="48"/>
    </row>
    <row r="708" spans="1:12" ht="14.25">
      <c r="A708" s="59"/>
      <c r="B708" s="61"/>
      <c r="C708" s="127" t="s">
        <v>504</v>
      </c>
      <c r="D708" s="127"/>
      <c r="E708" s="127"/>
      <c r="F708" s="127"/>
      <c r="G708" s="127"/>
      <c r="H708" s="127"/>
      <c r="I708" s="48"/>
      <c r="J708" s="59"/>
      <c r="K708" s="45"/>
      <c r="L708" s="48">
        <f>SUM(AO52:AO699)</f>
        <v>5934.6599999999989</v>
      </c>
    </row>
    <row r="709" spans="1:12" ht="14.25" hidden="1">
      <c r="A709" s="59"/>
      <c r="B709" s="61"/>
      <c r="C709" s="128" t="s">
        <v>506</v>
      </c>
      <c r="D709" s="127"/>
      <c r="E709" s="127"/>
      <c r="F709" s="127"/>
      <c r="G709" s="127"/>
      <c r="H709" s="127"/>
      <c r="I709" s="48"/>
      <c r="J709" s="59"/>
      <c r="K709" s="45"/>
      <c r="L709" s="48"/>
    </row>
    <row r="710" spans="1:12" ht="14.25">
      <c r="A710" s="59"/>
      <c r="B710" s="61"/>
      <c r="C710" s="127" t="s">
        <v>526</v>
      </c>
      <c r="D710" s="127"/>
      <c r="E710" s="127"/>
      <c r="F710" s="127"/>
      <c r="G710" s="127"/>
      <c r="H710" s="127"/>
      <c r="I710" s="48"/>
      <c r="J710" s="59"/>
      <c r="K710" s="45"/>
      <c r="L710" s="48">
        <f>SUM(AT52:AT699)</f>
        <v>2123.5400000000004</v>
      </c>
    </row>
    <row r="711" spans="1:12" ht="14.25" hidden="1">
      <c r="A711" s="59"/>
      <c r="B711" s="61"/>
      <c r="C711" s="127" t="s">
        <v>507</v>
      </c>
      <c r="D711" s="127"/>
      <c r="E711" s="127"/>
      <c r="F711" s="127"/>
      <c r="G711" s="127"/>
      <c r="H711" s="127"/>
      <c r="I711" s="48"/>
      <c r="J711" s="59"/>
      <c r="K711" s="45"/>
      <c r="L711" s="48">
        <f>SUM(AV52:AV699)</f>
        <v>0</v>
      </c>
    </row>
    <row r="712" spans="1:12" ht="14.25">
      <c r="A712" s="59"/>
      <c r="B712" s="61"/>
      <c r="C712" s="127" t="s">
        <v>508</v>
      </c>
      <c r="D712" s="127"/>
      <c r="E712" s="127"/>
      <c r="F712" s="127"/>
      <c r="G712" s="127"/>
      <c r="H712" s="127"/>
      <c r="I712" s="48"/>
      <c r="J712" s="59"/>
      <c r="K712" s="45"/>
      <c r="L712" s="48">
        <f>L714+L715</f>
        <v>2972330.98</v>
      </c>
    </row>
    <row r="713" spans="1:12" ht="14.25">
      <c r="A713" s="59"/>
      <c r="B713" s="61"/>
      <c r="C713" s="128" t="s">
        <v>505</v>
      </c>
      <c r="D713" s="127"/>
      <c r="E713" s="127"/>
      <c r="F713" s="127"/>
      <c r="G713" s="127"/>
      <c r="H713" s="127"/>
      <c r="I713" s="48"/>
      <c r="J713" s="59"/>
      <c r="K713" s="45"/>
      <c r="L713" s="48"/>
    </row>
    <row r="714" spans="1:12" ht="14.25">
      <c r="A714" s="59"/>
      <c r="B714" s="61"/>
      <c r="C714" s="127" t="s">
        <v>509</v>
      </c>
      <c r="D714" s="127"/>
      <c r="E714" s="127"/>
      <c r="F714" s="127"/>
      <c r="G714" s="127"/>
      <c r="H714" s="127"/>
      <c r="I714" s="48"/>
      <c r="J714" s="59"/>
      <c r="K714" s="45"/>
      <c r="L714" s="48">
        <f>SUM(AW52:AW699)-SUM(BK52:BK699)</f>
        <v>2972330.98</v>
      </c>
    </row>
    <row r="715" spans="1:12" ht="14.25" hidden="1">
      <c r="A715" s="59"/>
      <c r="B715" s="61"/>
      <c r="C715" s="127" t="s">
        <v>510</v>
      </c>
      <c r="D715" s="127"/>
      <c r="E715" s="127"/>
      <c r="F715" s="127"/>
      <c r="G715" s="127"/>
      <c r="H715" s="127"/>
      <c r="I715" s="48"/>
      <c r="J715" s="59"/>
      <c r="K715" s="45"/>
      <c r="L715" s="48">
        <f>SUM(BC52:BC699)</f>
        <v>0</v>
      </c>
    </row>
    <row r="716" spans="1:12" ht="14.25" hidden="1">
      <c r="A716" s="59"/>
      <c r="B716" s="61"/>
      <c r="C716" s="127" t="s">
        <v>511</v>
      </c>
      <c r="D716" s="127"/>
      <c r="E716" s="127"/>
      <c r="F716" s="127"/>
      <c r="G716" s="127"/>
      <c r="H716" s="127"/>
      <c r="I716" s="48"/>
      <c r="J716" s="59"/>
      <c r="K716" s="45"/>
      <c r="L716" s="48">
        <f>SUM(BB52:BB699)</f>
        <v>0</v>
      </c>
    </row>
    <row r="717" spans="1:12" ht="14.25">
      <c r="A717" s="59"/>
      <c r="B717" s="61"/>
      <c r="C717" s="127" t="s">
        <v>512</v>
      </c>
      <c r="D717" s="127"/>
      <c r="E717" s="127"/>
      <c r="F717" s="127"/>
      <c r="G717" s="127"/>
      <c r="H717" s="127"/>
      <c r="I717" s="48"/>
      <c r="J717" s="59"/>
      <c r="K717" s="45"/>
      <c r="L717" s="48">
        <f>SUM(AR52:AR699)+SUM(AT52:AT699)+SUM(AV52:AV699)</f>
        <v>97110.51999999999</v>
      </c>
    </row>
    <row r="718" spans="1:12" ht="14.25">
      <c r="A718" s="59"/>
      <c r="B718" s="61"/>
      <c r="C718" s="127" t="s">
        <v>513</v>
      </c>
      <c r="D718" s="127"/>
      <c r="E718" s="127"/>
      <c r="F718" s="127"/>
      <c r="G718" s="127"/>
      <c r="H718" s="127"/>
      <c r="I718" s="48"/>
      <c r="J718" s="59"/>
      <c r="K718" s="45"/>
      <c r="L718" s="48">
        <f>SUM(AZ52:AZ699)</f>
        <v>91244.900000000023</v>
      </c>
    </row>
    <row r="719" spans="1:12" ht="14.25">
      <c r="A719" s="59"/>
      <c r="B719" s="61"/>
      <c r="C719" s="127" t="s">
        <v>514</v>
      </c>
      <c r="D719" s="127"/>
      <c r="E719" s="127"/>
      <c r="F719" s="127"/>
      <c r="G719" s="127"/>
      <c r="H719" s="127"/>
      <c r="I719" s="48"/>
      <c r="J719" s="59"/>
      <c r="K719" s="45"/>
      <c r="L719" s="48">
        <f>SUM(BA52:BA699)</f>
        <v>47536.25</v>
      </c>
    </row>
    <row r="720" spans="1:12" ht="14.25" hidden="1">
      <c r="A720" s="59"/>
      <c r="B720" s="61"/>
      <c r="C720" s="127" t="s">
        <v>573</v>
      </c>
      <c r="D720" s="127"/>
      <c r="E720" s="127"/>
      <c r="F720" s="127"/>
      <c r="G720" s="127"/>
      <c r="H720" s="127"/>
      <c r="I720" s="48"/>
      <c r="J720" s="59"/>
      <c r="K720" s="45"/>
      <c r="L720" s="48">
        <f>L722+L723</f>
        <v>0</v>
      </c>
    </row>
    <row r="721" spans="1:12" ht="14.25" hidden="1">
      <c r="A721" s="59"/>
      <c r="B721" s="61"/>
      <c r="C721" s="128" t="s">
        <v>502</v>
      </c>
      <c r="D721" s="127"/>
      <c r="E721" s="127"/>
      <c r="F721" s="127"/>
      <c r="G721" s="127"/>
      <c r="H721" s="127"/>
      <c r="I721" s="48"/>
      <c r="J721" s="59"/>
      <c r="K721" s="45"/>
      <c r="L721" s="48"/>
    </row>
    <row r="722" spans="1:12" ht="14.25" hidden="1">
      <c r="A722" s="59"/>
      <c r="B722" s="61"/>
      <c r="C722" s="127" t="s">
        <v>516</v>
      </c>
      <c r="D722" s="127"/>
      <c r="E722" s="127"/>
      <c r="F722" s="127"/>
      <c r="G722" s="127"/>
      <c r="H722" s="127"/>
      <c r="I722" s="48"/>
      <c r="J722" s="59"/>
      <c r="K722" s="45"/>
      <c r="L722" s="48">
        <f>SUM(BK52:BK699)</f>
        <v>0</v>
      </c>
    </row>
    <row r="723" spans="1:12" ht="14.25" hidden="1">
      <c r="A723" s="59"/>
      <c r="B723" s="61"/>
      <c r="C723" s="127" t="s">
        <v>517</v>
      </c>
      <c r="D723" s="127"/>
      <c r="E723" s="127"/>
      <c r="F723" s="127"/>
      <c r="G723" s="127"/>
      <c r="H723" s="127"/>
      <c r="I723" s="48"/>
      <c r="J723" s="59"/>
      <c r="K723" s="45"/>
      <c r="L723" s="48">
        <f>SUM(BD52:BD699)</f>
        <v>0</v>
      </c>
    </row>
    <row r="724" spans="1:12" ht="14.25">
      <c r="A724" s="59"/>
      <c r="B724" s="61"/>
      <c r="C724" s="127" t="s">
        <v>574</v>
      </c>
      <c r="D724" s="127"/>
      <c r="E724" s="127"/>
      <c r="F724" s="127"/>
      <c r="G724" s="127"/>
      <c r="H724" s="127"/>
      <c r="I724" s="48"/>
      <c r="J724" s="59"/>
      <c r="K724" s="45"/>
      <c r="L724" s="48">
        <f>L677</f>
        <v>19182.349999999999</v>
      </c>
    </row>
    <row r="725" spans="1:12" ht="14.25">
      <c r="A725" s="59"/>
      <c r="B725" s="61"/>
      <c r="C725" s="129" t="s">
        <v>521</v>
      </c>
      <c r="D725" s="127"/>
      <c r="E725" s="127"/>
      <c r="F725" s="127"/>
      <c r="G725" s="127"/>
      <c r="H725" s="127"/>
      <c r="I725" s="48"/>
      <c r="J725" s="59"/>
      <c r="K725" s="45"/>
      <c r="L725" s="48"/>
    </row>
    <row r="726" spans="1:12" ht="14.25" hidden="1">
      <c r="A726" s="59"/>
      <c r="B726" s="61"/>
      <c r="C726" s="127" t="s">
        <v>522</v>
      </c>
      <c r="D726" s="127"/>
      <c r="E726" s="127"/>
      <c r="F726" s="127"/>
      <c r="G726" s="127"/>
      <c r="H726" s="127"/>
      <c r="I726" s="48"/>
      <c r="J726" s="59"/>
      <c r="K726" s="45"/>
      <c r="L726" s="48">
        <f>SUM(AX52:AX699)</f>
        <v>0</v>
      </c>
    </row>
    <row r="727" spans="1:12" ht="14.25" hidden="1">
      <c r="A727" s="59"/>
      <c r="B727" s="61"/>
      <c r="C727" s="127" t="s">
        <v>523</v>
      </c>
      <c r="D727" s="127"/>
      <c r="E727" s="127"/>
      <c r="F727" s="127"/>
      <c r="G727" s="127"/>
      <c r="H727" s="127"/>
      <c r="I727" s="48"/>
      <c r="J727" s="59"/>
      <c r="K727" s="45"/>
      <c r="L727" s="48">
        <f>SUM(AY52:AY699)</f>
        <v>0</v>
      </c>
    </row>
    <row r="728" spans="1:12" ht="14.25">
      <c r="A728" s="59"/>
      <c r="B728" s="61"/>
      <c r="C728" s="127" t="s">
        <v>524</v>
      </c>
      <c r="D728" s="127"/>
      <c r="E728" s="127"/>
      <c r="F728" s="130"/>
      <c r="G728" s="47">
        <f>Source!F427</f>
        <v>291.12199999999996</v>
      </c>
      <c r="H728" s="59"/>
      <c r="I728" s="59"/>
      <c r="J728" s="59"/>
      <c r="K728" s="59"/>
      <c r="L728" s="59"/>
    </row>
    <row r="729" spans="1:12" ht="14.25">
      <c r="A729" s="59"/>
      <c r="B729" s="61"/>
      <c r="C729" s="127" t="s">
        <v>525</v>
      </c>
      <c r="D729" s="127"/>
      <c r="E729" s="127"/>
      <c r="F729" s="130"/>
      <c r="G729" s="47">
        <f>Source!F428</f>
        <v>13.37956</v>
      </c>
      <c r="H729" s="59"/>
      <c r="I729" s="59"/>
      <c r="J729" s="59"/>
      <c r="K729" s="59"/>
      <c r="L729" s="59"/>
    </row>
    <row r="731" spans="1:12" ht="14.25">
      <c r="C731" s="131" t="str">
        <f>Source!H444</f>
        <v>НДС 20%</v>
      </c>
      <c r="D731" s="131"/>
      <c r="E731" s="131"/>
      <c r="F731" s="131"/>
      <c r="G731" s="131"/>
      <c r="H731" s="131"/>
      <c r="I731" s="131"/>
      <c r="J731" s="131"/>
      <c r="K731" s="131"/>
      <c r="L731" s="57">
        <f>IF(Source!Y444=0, "", Source!Y444)</f>
        <v>642831.46</v>
      </c>
    </row>
    <row r="732" spans="1:12" ht="14.25">
      <c r="C732" s="131" t="str">
        <f>Source!H445</f>
        <v>ИТОГО с НДС</v>
      </c>
      <c r="D732" s="131"/>
      <c r="E732" s="131"/>
      <c r="F732" s="131"/>
      <c r="G732" s="131"/>
      <c r="H732" s="131"/>
      <c r="I732" s="131"/>
      <c r="J732" s="131"/>
      <c r="K732" s="131"/>
      <c r="L732" s="57">
        <f>IF(Source!Y445=0, "", Source!Y445)</f>
        <v>3856988.77</v>
      </c>
    </row>
    <row r="735" spans="1:12" ht="14.25" customHeight="1">
      <c r="A735" s="133" t="s">
        <v>575</v>
      </c>
      <c r="B735" s="133"/>
      <c r="C735" s="74" t="str">
        <f>IF(Source!AC12&lt;&gt;"", Source!AC12," ")</f>
        <v xml:space="preserve"> </v>
      </c>
      <c r="D735" s="32"/>
      <c r="E735" s="32"/>
      <c r="F735" s="32"/>
      <c r="G735" s="32"/>
      <c r="H735" s="13" t="str">
        <f>IF(Source!AB12&lt;&gt;"", Source!AB12," ")</f>
        <v xml:space="preserve"> </v>
      </c>
      <c r="I735" s="22"/>
      <c r="J735" s="22"/>
      <c r="K735" s="36"/>
      <c r="L735" s="36"/>
    </row>
    <row r="736" spans="1:12" ht="14.25" customHeight="1">
      <c r="A736" s="18"/>
      <c r="B736" s="18"/>
      <c r="C736" s="134" t="s">
        <v>576</v>
      </c>
      <c r="D736" s="134"/>
      <c r="E736" s="134"/>
      <c r="F736" s="134"/>
      <c r="G736" s="134"/>
      <c r="H736" s="22"/>
      <c r="I736" s="22"/>
      <c r="J736" s="22"/>
      <c r="K736" s="36"/>
      <c r="L736" s="36"/>
    </row>
    <row r="737" spans="1:12" ht="14.25" customHeight="1">
      <c r="A737" s="18"/>
      <c r="B737" s="18"/>
      <c r="C737" s="18"/>
      <c r="D737" s="18"/>
      <c r="E737" s="18"/>
      <c r="F737" s="18"/>
      <c r="G737" s="18"/>
      <c r="H737" s="22"/>
      <c r="I737" s="22"/>
      <c r="J737" s="22"/>
      <c r="K737" s="36"/>
      <c r="L737" s="36"/>
    </row>
    <row r="738" spans="1:12" ht="14.25" customHeight="1">
      <c r="A738" s="133" t="s">
        <v>577</v>
      </c>
      <c r="B738" s="133"/>
      <c r="C738" s="74" t="str">
        <f>IF(Source!AE12&lt;&gt;"", Source!AE12," ")</f>
        <v xml:space="preserve"> </v>
      </c>
      <c r="D738" s="32"/>
      <c r="E738" s="32"/>
      <c r="F738" s="32"/>
      <c r="G738" s="32"/>
      <c r="H738" s="13" t="str">
        <f>IF(Source!AD12&lt;&gt;"", Source!AD12," ")</f>
        <v xml:space="preserve"> </v>
      </c>
      <c r="I738" s="22"/>
      <c r="J738" s="22"/>
      <c r="K738" s="36"/>
      <c r="L738" s="36"/>
    </row>
    <row r="739" spans="1:12" ht="14.25" customHeight="1">
      <c r="A739" s="18"/>
      <c r="B739" s="18"/>
      <c r="C739" s="134" t="s">
        <v>576</v>
      </c>
      <c r="D739" s="134"/>
      <c r="E739" s="134"/>
      <c r="F739" s="134"/>
      <c r="G739" s="134"/>
      <c r="H739" s="22"/>
      <c r="I739" s="22"/>
      <c r="J739" s="22"/>
      <c r="K739" s="36"/>
      <c r="L739" s="36"/>
    </row>
  </sheetData>
  <mergeCells count="475">
    <mergeCell ref="C731:K731"/>
    <mergeCell ref="C732:K732"/>
    <mergeCell ref="A735:B735"/>
    <mergeCell ref="C736:G736"/>
    <mergeCell ref="A738:B738"/>
    <mergeCell ref="C739:G739"/>
    <mergeCell ref="C724:H724"/>
    <mergeCell ref="C725:H725"/>
    <mergeCell ref="C726:H726"/>
    <mergeCell ref="C727:H727"/>
    <mergeCell ref="C728:F728"/>
    <mergeCell ref="C729:F729"/>
    <mergeCell ref="C718:H718"/>
    <mergeCell ref="C719:H719"/>
    <mergeCell ref="C720:H720"/>
    <mergeCell ref="C721:H721"/>
    <mergeCell ref="C722:H722"/>
    <mergeCell ref="C723:H723"/>
    <mergeCell ref="C712:H712"/>
    <mergeCell ref="C713:H713"/>
    <mergeCell ref="C714:H714"/>
    <mergeCell ref="C715:H715"/>
    <mergeCell ref="C716:H716"/>
    <mergeCell ref="C717:H717"/>
    <mergeCell ref="C706:H706"/>
    <mergeCell ref="C707:H707"/>
    <mergeCell ref="C708:H708"/>
    <mergeCell ref="C709:H709"/>
    <mergeCell ref="C710:H710"/>
    <mergeCell ref="C711:H711"/>
    <mergeCell ref="C699:H699"/>
    <mergeCell ref="C701:H701"/>
    <mergeCell ref="C702:H702"/>
    <mergeCell ref="C703:H703"/>
    <mergeCell ref="C704:H704"/>
    <mergeCell ref="C705:H705"/>
    <mergeCell ref="C693:H693"/>
    <mergeCell ref="C694:H694"/>
    <mergeCell ref="C695:H695"/>
    <mergeCell ref="C696:H696"/>
    <mergeCell ref="C697:H697"/>
    <mergeCell ref="C698:H698"/>
    <mergeCell ref="C687:H687"/>
    <mergeCell ref="C688:H688"/>
    <mergeCell ref="C689:H689"/>
    <mergeCell ref="C690:H690"/>
    <mergeCell ref="C691:H691"/>
    <mergeCell ref="C692:H692"/>
    <mergeCell ref="C681:H681"/>
    <mergeCell ref="C682:H682"/>
    <mergeCell ref="C683:H683"/>
    <mergeCell ref="C684:H684"/>
    <mergeCell ref="C685:H685"/>
    <mergeCell ref="C686:H686"/>
    <mergeCell ref="C674:H674"/>
    <mergeCell ref="C675:H675"/>
    <mergeCell ref="C677:H677"/>
    <mergeCell ref="C678:H678"/>
    <mergeCell ref="C679:H679"/>
    <mergeCell ref="C680:H680"/>
    <mergeCell ref="C667:H667"/>
    <mergeCell ref="C668:H668"/>
    <mergeCell ref="C669:H669"/>
    <mergeCell ref="C670:H670"/>
    <mergeCell ref="C672:H672"/>
    <mergeCell ref="C673:H673"/>
    <mergeCell ref="C661:H661"/>
    <mergeCell ref="C662:H662"/>
    <mergeCell ref="C663:H663"/>
    <mergeCell ref="C664:H664"/>
    <mergeCell ref="C665:H665"/>
    <mergeCell ref="C666:H666"/>
    <mergeCell ref="C655:H655"/>
    <mergeCell ref="C656:H656"/>
    <mergeCell ref="C657:H657"/>
    <mergeCell ref="C658:H658"/>
    <mergeCell ref="C659:H659"/>
    <mergeCell ref="C660:H660"/>
    <mergeCell ref="C648:H648"/>
    <mergeCell ref="C649:H649"/>
    <mergeCell ref="C650:H650"/>
    <mergeCell ref="C652:H652"/>
    <mergeCell ref="C653:H653"/>
    <mergeCell ref="C654:H654"/>
    <mergeCell ref="C642:H642"/>
    <mergeCell ref="C643:H643"/>
    <mergeCell ref="C644:H644"/>
    <mergeCell ref="C645:H645"/>
    <mergeCell ref="C646:H646"/>
    <mergeCell ref="C647:H647"/>
    <mergeCell ref="C636:H636"/>
    <mergeCell ref="C637:H637"/>
    <mergeCell ref="C638:H638"/>
    <mergeCell ref="C639:H639"/>
    <mergeCell ref="C640:H640"/>
    <mergeCell ref="C641:H641"/>
    <mergeCell ref="C628:K628"/>
    <mergeCell ref="C630:H630"/>
    <mergeCell ref="C632:H632"/>
    <mergeCell ref="C633:H633"/>
    <mergeCell ref="C634:H634"/>
    <mergeCell ref="C635:H635"/>
    <mergeCell ref="C621:H621"/>
    <mergeCell ref="C622:H622"/>
    <mergeCell ref="C623:H623"/>
    <mergeCell ref="C624:F624"/>
    <mergeCell ref="C625:F625"/>
    <mergeCell ref="C627:K627"/>
    <mergeCell ref="C615:H615"/>
    <mergeCell ref="C616:H616"/>
    <mergeCell ref="C617:H617"/>
    <mergeCell ref="C618:H618"/>
    <mergeCell ref="C619:H619"/>
    <mergeCell ref="C620:H620"/>
    <mergeCell ref="C609:H609"/>
    <mergeCell ref="C610:H610"/>
    <mergeCell ref="C611:H611"/>
    <mergeCell ref="C612:H612"/>
    <mergeCell ref="C613:H613"/>
    <mergeCell ref="C614:H614"/>
    <mergeCell ref="C603:H603"/>
    <mergeCell ref="C604:H604"/>
    <mergeCell ref="C605:H605"/>
    <mergeCell ref="C606:H606"/>
    <mergeCell ref="C607:H607"/>
    <mergeCell ref="C608:H608"/>
    <mergeCell ref="C597:H597"/>
    <mergeCell ref="C598:H598"/>
    <mergeCell ref="C599:H599"/>
    <mergeCell ref="C600:H600"/>
    <mergeCell ref="C601:H601"/>
    <mergeCell ref="C602:H602"/>
    <mergeCell ref="C586:H586"/>
    <mergeCell ref="I586:J586"/>
    <mergeCell ref="K586:L586"/>
    <mergeCell ref="C595:H595"/>
    <mergeCell ref="I595:J595"/>
    <mergeCell ref="K595:L595"/>
    <mergeCell ref="C556:K556"/>
    <mergeCell ref="A558:L558"/>
    <mergeCell ref="C568:H568"/>
    <mergeCell ref="I568:J568"/>
    <mergeCell ref="K568:L568"/>
    <mergeCell ref="C577:H577"/>
    <mergeCell ref="I577:J577"/>
    <mergeCell ref="K577:L577"/>
    <mergeCell ref="C549:H549"/>
    <mergeCell ref="C550:H550"/>
    <mergeCell ref="C551:H551"/>
    <mergeCell ref="C552:F552"/>
    <mergeCell ref="C553:F553"/>
    <mergeCell ref="C555:K555"/>
    <mergeCell ref="C543:H543"/>
    <mergeCell ref="C544:H544"/>
    <mergeCell ref="C545:H545"/>
    <mergeCell ref="C546:H546"/>
    <mergeCell ref="C547:H547"/>
    <mergeCell ref="C548:H548"/>
    <mergeCell ref="C537:H537"/>
    <mergeCell ref="C538:H538"/>
    <mergeCell ref="C539:H539"/>
    <mergeCell ref="C540:H540"/>
    <mergeCell ref="C541:H541"/>
    <mergeCell ref="C542:H542"/>
    <mergeCell ref="C531:H531"/>
    <mergeCell ref="C532:H532"/>
    <mergeCell ref="C533:H533"/>
    <mergeCell ref="C534:H534"/>
    <mergeCell ref="C535:H535"/>
    <mergeCell ref="C536:H536"/>
    <mergeCell ref="C525:H525"/>
    <mergeCell ref="C526:H526"/>
    <mergeCell ref="C527:H527"/>
    <mergeCell ref="C528:H528"/>
    <mergeCell ref="C529:H529"/>
    <mergeCell ref="C530:H530"/>
    <mergeCell ref="C521:H521"/>
    <mergeCell ref="I521:J521"/>
    <mergeCell ref="K521:L521"/>
    <mergeCell ref="C523:H523"/>
    <mergeCell ref="I523:J523"/>
    <mergeCell ref="K523:L523"/>
    <mergeCell ref="C517:H517"/>
    <mergeCell ref="I517:J517"/>
    <mergeCell ref="K517:L517"/>
    <mergeCell ref="C519:H519"/>
    <mergeCell ref="I519:J519"/>
    <mergeCell ref="K519:L519"/>
    <mergeCell ref="C513:H513"/>
    <mergeCell ref="I513:J513"/>
    <mergeCell ref="K513:L513"/>
    <mergeCell ref="C515:H515"/>
    <mergeCell ref="I515:J515"/>
    <mergeCell ref="K515:L515"/>
    <mergeCell ref="C509:H509"/>
    <mergeCell ref="I509:J509"/>
    <mergeCell ref="K509:L509"/>
    <mergeCell ref="C511:H511"/>
    <mergeCell ref="I511:J511"/>
    <mergeCell ref="K511:L511"/>
    <mergeCell ref="C499:F499"/>
    <mergeCell ref="C500:F500"/>
    <mergeCell ref="C502:K502"/>
    <mergeCell ref="C503:K503"/>
    <mergeCell ref="A505:L505"/>
    <mergeCell ref="C507:H507"/>
    <mergeCell ref="I507:J507"/>
    <mergeCell ref="K507:L507"/>
    <mergeCell ref="C493:H493"/>
    <mergeCell ref="C494:H494"/>
    <mergeCell ref="C495:H495"/>
    <mergeCell ref="C496:H496"/>
    <mergeCell ref="C497:H497"/>
    <mergeCell ref="C498:H498"/>
    <mergeCell ref="C487:H487"/>
    <mergeCell ref="C488:H488"/>
    <mergeCell ref="C489:H489"/>
    <mergeCell ref="C490:H490"/>
    <mergeCell ref="C491:H491"/>
    <mergeCell ref="C492:H492"/>
    <mergeCell ref="C481:H481"/>
    <mergeCell ref="C482:H482"/>
    <mergeCell ref="C483:H483"/>
    <mergeCell ref="C484:H484"/>
    <mergeCell ref="C485:H485"/>
    <mergeCell ref="C486:H486"/>
    <mergeCell ref="C475:H475"/>
    <mergeCell ref="C476:H476"/>
    <mergeCell ref="C477:H477"/>
    <mergeCell ref="C478:H478"/>
    <mergeCell ref="C479:H479"/>
    <mergeCell ref="C480:H480"/>
    <mergeCell ref="C470:H470"/>
    <mergeCell ref="I470:J470"/>
    <mergeCell ref="K470:L470"/>
    <mergeCell ref="C472:H472"/>
    <mergeCell ref="C473:H473"/>
    <mergeCell ref="C474:H474"/>
    <mergeCell ref="C428:H428"/>
    <mergeCell ref="I428:J428"/>
    <mergeCell ref="K428:L428"/>
    <mergeCell ref="C450:H450"/>
    <mergeCell ref="I450:J450"/>
    <mergeCell ref="K450:L450"/>
    <mergeCell ref="C390:H390"/>
    <mergeCell ref="I390:J390"/>
    <mergeCell ref="K390:L390"/>
    <mergeCell ref="C415:H415"/>
    <mergeCell ref="I415:J415"/>
    <mergeCell ref="K415:L415"/>
    <mergeCell ref="C340:H340"/>
    <mergeCell ref="I340:J340"/>
    <mergeCell ref="K340:L340"/>
    <mergeCell ref="C360:H360"/>
    <mergeCell ref="I360:J360"/>
    <mergeCell ref="K360:L360"/>
    <mergeCell ref="C290:K290"/>
    <mergeCell ref="A292:L292"/>
    <mergeCell ref="C313:H313"/>
    <mergeCell ref="I313:J313"/>
    <mergeCell ref="K313:L313"/>
    <mergeCell ref="C323:H323"/>
    <mergeCell ref="I323:J323"/>
    <mergeCell ref="K323:L323"/>
    <mergeCell ref="C283:H283"/>
    <mergeCell ref="C284:H284"/>
    <mergeCell ref="C285:H285"/>
    <mergeCell ref="C286:F286"/>
    <mergeCell ref="C287:F287"/>
    <mergeCell ref="C289:K289"/>
    <mergeCell ref="C277:H277"/>
    <mergeCell ref="C278:H278"/>
    <mergeCell ref="C279:H279"/>
    <mergeCell ref="C280:H280"/>
    <mergeCell ref="C281:H281"/>
    <mergeCell ref="C282:H282"/>
    <mergeCell ref="C271:H271"/>
    <mergeCell ref="C272:H272"/>
    <mergeCell ref="C273:H273"/>
    <mergeCell ref="C274:H274"/>
    <mergeCell ref="C275:H275"/>
    <mergeCell ref="C276:H276"/>
    <mergeCell ref="C265:H265"/>
    <mergeCell ref="C266:H266"/>
    <mergeCell ref="C267:H267"/>
    <mergeCell ref="C268:H268"/>
    <mergeCell ref="C269:H269"/>
    <mergeCell ref="C270:H270"/>
    <mergeCell ref="C259:H259"/>
    <mergeCell ref="C260:H260"/>
    <mergeCell ref="C261:H261"/>
    <mergeCell ref="C262:H262"/>
    <mergeCell ref="C263:H263"/>
    <mergeCell ref="C264:H264"/>
    <mergeCell ref="C255:H255"/>
    <mergeCell ref="I255:J255"/>
    <mergeCell ref="K255:L255"/>
    <mergeCell ref="C257:H257"/>
    <mergeCell ref="I257:J257"/>
    <mergeCell ref="K257:L257"/>
    <mergeCell ref="C251:H251"/>
    <mergeCell ref="I251:J251"/>
    <mergeCell ref="K251:L251"/>
    <mergeCell ref="C253:H253"/>
    <mergeCell ref="I253:J253"/>
    <mergeCell ref="K253:L253"/>
    <mergeCell ref="C241:F241"/>
    <mergeCell ref="C242:F242"/>
    <mergeCell ref="C244:K244"/>
    <mergeCell ref="C245:K245"/>
    <mergeCell ref="A247:L247"/>
    <mergeCell ref="C249:H249"/>
    <mergeCell ref="I249:J249"/>
    <mergeCell ref="K249:L249"/>
    <mergeCell ref="C235:H235"/>
    <mergeCell ref="C236:H236"/>
    <mergeCell ref="C237:H237"/>
    <mergeCell ref="C238:H238"/>
    <mergeCell ref="C239:H239"/>
    <mergeCell ref="C240:H240"/>
    <mergeCell ref="C229:H229"/>
    <mergeCell ref="C230:H230"/>
    <mergeCell ref="C231:H231"/>
    <mergeCell ref="C232:H232"/>
    <mergeCell ref="C233:H233"/>
    <mergeCell ref="C234:H234"/>
    <mergeCell ref="C223:H223"/>
    <mergeCell ref="C224:H224"/>
    <mergeCell ref="C225:H225"/>
    <mergeCell ref="C226:H226"/>
    <mergeCell ref="C227:H227"/>
    <mergeCell ref="C228:H228"/>
    <mergeCell ref="C217:H217"/>
    <mergeCell ref="C218:H218"/>
    <mergeCell ref="C219:H219"/>
    <mergeCell ref="C220:H220"/>
    <mergeCell ref="C221:H221"/>
    <mergeCell ref="C222:H222"/>
    <mergeCell ref="C212:H212"/>
    <mergeCell ref="I212:J212"/>
    <mergeCell ref="K212:L212"/>
    <mergeCell ref="C214:H214"/>
    <mergeCell ref="C215:H215"/>
    <mergeCell ref="C216:H216"/>
    <mergeCell ref="C179:F179"/>
    <mergeCell ref="C180:F180"/>
    <mergeCell ref="C182:K182"/>
    <mergeCell ref="C183:K183"/>
    <mergeCell ref="A185:L185"/>
    <mergeCell ref="C202:H202"/>
    <mergeCell ref="I202:J202"/>
    <mergeCell ref="K202:L202"/>
    <mergeCell ref="C173:H173"/>
    <mergeCell ref="C174:H174"/>
    <mergeCell ref="C175:H175"/>
    <mergeCell ref="C176:H176"/>
    <mergeCell ref="C177:H177"/>
    <mergeCell ref="C178:H178"/>
    <mergeCell ref="C167:H167"/>
    <mergeCell ref="C168:H168"/>
    <mergeCell ref="C169:H169"/>
    <mergeCell ref="C170:H170"/>
    <mergeCell ref="C171:H171"/>
    <mergeCell ref="C172:H172"/>
    <mergeCell ref="C161:H161"/>
    <mergeCell ref="C162:H162"/>
    <mergeCell ref="C163:H163"/>
    <mergeCell ref="C164:H164"/>
    <mergeCell ref="C165:H165"/>
    <mergeCell ref="C166:H166"/>
    <mergeCell ref="C155:H155"/>
    <mergeCell ref="C156:H156"/>
    <mergeCell ref="C157:H157"/>
    <mergeCell ref="C158:H158"/>
    <mergeCell ref="C159:H159"/>
    <mergeCell ref="C160:H160"/>
    <mergeCell ref="C150:H150"/>
    <mergeCell ref="I150:J150"/>
    <mergeCell ref="K150:L150"/>
    <mergeCell ref="C152:H152"/>
    <mergeCell ref="C153:H153"/>
    <mergeCell ref="C154:H154"/>
    <mergeCell ref="C146:H146"/>
    <mergeCell ref="I146:J146"/>
    <mergeCell ref="K146:L146"/>
    <mergeCell ref="C148:H148"/>
    <mergeCell ref="I148:J148"/>
    <mergeCell ref="K148:L148"/>
    <mergeCell ref="C142:H142"/>
    <mergeCell ref="I142:J142"/>
    <mergeCell ref="K142:L142"/>
    <mergeCell ref="C144:H144"/>
    <mergeCell ref="I144:J144"/>
    <mergeCell ref="K144:L144"/>
    <mergeCell ref="C132:F132"/>
    <mergeCell ref="C133:F133"/>
    <mergeCell ref="C135:K135"/>
    <mergeCell ref="C136:K136"/>
    <mergeCell ref="A138:L138"/>
    <mergeCell ref="C140:H140"/>
    <mergeCell ref="I140:J140"/>
    <mergeCell ref="K140:L140"/>
    <mergeCell ref="C126:H126"/>
    <mergeCell ref="C127:H127"/>
    <mergeCell ref="C128:H128"/>
    <mergeCell ref="C129:H129"/>
    <mergeCell ref="C130:H130"/>
    <mergeCell ref="C131:H131"/>
    <mergeCell ref="C120:H120"/>
    <mergeCell ref="C121:H121"/>
    <mergeCell ref="C122:H122"/>
    <mergeCell ref="C123:H123"/>
    <mergeCell ref="C124:H124"/>
    <mergeCell ref="C125:H125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C110:H110"/>
    <mergeCell ref="C111:H111"/>
    <mergeCell ref="C112:H112"/>
    <mergeCell ref="C113:H113"/>
    <mergeCell ref="C103:H103"/>
    <mergeCell ref="I103:J103"/>
    <mergeCell ref="K103:L103"/>
    <mergeCell ref="C105:H105"/>
    <mergeCell ref="C106:H106"/>
    <mergeCell ref="C107:H107"/>
    <mergeCell ref="A53:L53"/>
    <mergeCell ref="C70:H70"/>
    <mergeCell ref="I70:J70"/>
    <mergeCell ref="K70:L70"/>
    <mergeCell ref="C93:H93"/>
    <mergeCell ref="I93:J93"/>
    <mergeCell ref="K93:L93"/>
    <mergeCell ref="A46:A50"/>
    <mergeCell ref="B46:B50"/>
    <mergeCell ref="C46:C50"/>
    <mergeCell ref="D46:D50"/>
    <mergeCell ref="E46:G49"/>
    <mergeCell ref="H46:L49"/>
    <mergeCell ref="C38:D38"/>
    <mergeCell ref="C41:D41"/>
    <mergeCell ref="C42:D42"/>
    <mergeCell ref="C43:D43"/>
    <mergeCell ref="C44:D44"/>
    <mergeCell ref="A22:L22"/>
    <mergeCell ref="A23:L23"/>
    <mergeCell ref="A25:L25"/>
    <mergeCell ref="A27:L27"/>
    <mergeCell ref="A28:L28"/>
    <mergeCell ref="C33:L33"/>
    <mergeCell ref="A19:L19"/>
    <mergeCell ref="A20:L20"/>
    <mergeCell ref="A8:E8"/>
    <mergeCell ref="F8:L8"/>
    <mergeCell ref="A10:E10"/>
    <mergeCell ref="F10:L10"/>
    <mergeCell ref="A12:E12"/>
    <mergeCell ref="F12:L12"/>
    <mergeCell ref="C34:L34"/>
    <mergeCell ref="A2:E2"/>
    <mergeCell ref="F2:L2"/>
    <mergeCell ref="A4:E4"/>
    <mergeCell ref="F4:L4"/>
    <mergeCell ref="A6:E6"/>
    <mergeCell ref="F6:L6"/>
    <mergeCell ref="A14:E14"/>
    <mergeCell ref="F14:L14"/>
    <mergeCell ref="A16:E16"/>
    <mergeCell ref="F16:L16"/>
  </mergeCells>
  <pageMargins left="0.4" right="0.2" top="0.4" bottom="0.4" header="0.2" footer="0.2"/>
  <pageSetup paperSize="9" scale="58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E727"/>
  <sheetViews>
    <sheetView zoomScaleNormal="100" workbookViewId="0">
      <selection activeCell="A582" sqref="A582"/>
    </sheetView>
  </sheetViews>
  <sheetFormatPr defaultRowHeight="12.75"/>
  <cols>
    <col min="1" max="2" width="5.7109375" customWidth="1"/>
    <col min="3" max="3" width="20.7109375" customWidth="1"/>
    <col min="4" max="4" width="40.7109375" customWidth="1"/>
    <col min="5" max="5" width="10.7109375" customWidth="1"/>
    <col min="6" max="13" width="15.7109375" customWidth="1"/>
    <col min="15" max="100" width="0" hidden="1" customWidth="1"/>
  </cols>
  <sheetData>
    <row r="1" spans="1:13">
      <c r="A1" s="9" t="str">
        <f>Source!B1</f>
        <v>Smeta.RU  (495) 974-1589</v>
      </c>
    </row>
    <row r="2" spans="1:13" ht="12.75" customHeight="1">
      <c r="A2" s="26"/>
      <c r="B2" s="26"/>
      <c r="C2" s="26"/>
      <c r="D2" s="26"/>
      <c r="E2" s="26"/>
      <c r="F2" s="26"/>
      <c r="G2" s="26"/>
      <c r="H2" s="26"/>
      <c r="I2" s="26"/>
      <c r="J2" s="144" t="s">
        <v>578</v>
      </c>
      <c r="K2" s="144"/>
      <c r="L2" s="144"/>
      <c r="M2" s="144"/>
    </row>
    <row r="3" spans="1:13" ht="12.75" customHeight="1">
      <c r="A3" s="26"/>
      <c r="B3" s="26"/>
      <c r="C3" s="26"/>
      <c r="D3" s="26"/>
      <c r="E3" s="26"/>
      <c r="F3" s="26"/>
      <c r="G3" s="26"/>
      <c r="H3" s="26"/>
      <c r="I3" s="144" t="s">
        <v>579</v>
      </c>
      <c r="J3" s="144"/>
      <c r="K3" s="144"/>
      <c r="L3" s="144"/>
      <c r="M3" s="144"/>
    </row>
    <row r="4" spans="1:13" ht="12.75" customHeight="1">
      <c r="A4" s="26"/>
      <c r="B4" s="26"/>
      <c r="C4" s="26"/>
      <c r="D4" s="26"/>
      <c r="E4" s="26"/>
      <c r="F4" s="26"/>
      <c r="G4" s="26"/>
      <c r="H4" s="26"/>
      <c r="I4" s="26"/>
      <c r="J4" s="144" t="s">
        <v>580</v>
      </c>
      <c r="K4" s="144"/>
      <c r="L4" s="144"/>
      <c r="M4" s="144"/>
    </row>
    <row r="5" spans="1:13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ht="14.25" customHeight="1">
      <c r="A6" s="26"/>
      <c r="B6" s="26"/>
      <c r="C6" s="26"/>
      <c r="D6" s="26"/>
      <c r="E6" s="26"/>
      <c r="F6" s="26"/>
      <c r="G6" s="26"/>
      <c r="H6" s="26"/>
      <c r="I6" s="26"/>
      <c r="J6" s="26"/>
      <c r="K6" s="142" t="s">
        <v>581</v>
      </c>
      <c r="L6" s="142"/>
      <c r="M6" s="142"/>
    </row>
    <row r="7" spans="1:13" ht="28.5" customHeight="1">
      <c r="A7" s="26"/>
      <c r="B7" s="26"/>
      <c r="C7" s="26"/>
      <c r="D7" s="26"/>
      <c r="E7" s="26"/>
      <c r="F7" s="26"/>
      <c r="G7" s="26"/>
      <c r="H7" s="26"/>
      <c r="I7" s="26"/>
      <c r="J7" s="75" t="s">
        <v>582</v>
      </c>
      <c r="K7" s="145">
        <v>322005</v>
      </c>
      <c r="L7" s="146"/>
      <c r="M7" s="147"/>
    </row>
    <row r="8" spans="1:13" ht="12.75" customHeight="1">
      <c r="A8" s="26"/>
      <c r="B8" s="26"/>
      <c r="C8" s="26"/>
      <c r="D8" s="26"/>
      <c r="E8" s="26"/>
      <c r="F8" s="26"/>
      <c r="G8" s="26"/>
      <c r="H8" s="26"/>
      <c r="I8" s="26"/>
      <c r="J8" s="77"/>
      <c r="K8" s="138" t="str">
        <f>IF(Source!AT15 &lt;&gt; "", Source!AT15, "")</f>
        <v/>
      </c>
      <c r="L8" s="139"/>
      <c r="M8" s="140"/>
    </row>
    <row r="9" spans="1:13" ht="14.25" customHeight="1">
      <c r="A9" s="135" t="s">
        <v>583</v>
      </c>
      <c r="B9" s="135"/>
      <c r="C9" s="136" t="str">
        <f>IF(Source!BA15 &lt;&gt; "", Source!BA15, IF(Source!AU15 &lt;&gt; "", Source!AU15, ""))</f>
        <v/>
      </c>
      <c r="D9" s="136"/>
      <c r="E9" s="136"/>
      <c r="F9" s="136"/>
      <c r="G9" s="136"/>
      <c r="H9" s="136"/>
      <c r="I9" s="136"/>
      <c r="J9" s="78" t="s">
        <v>584</v>
      </c>
      <c r="K9" s="141"/>
      <c r="L9" s="142"/>
      <c r="M9" s="143"/>
    </row>
    <row r="10" spans="1:13" ht="12.75" customHeight="1">
      <c r="A10" s="26"/>
      <c r="B10" s="26"/>
      <c r="C10" s="137" t="s">
        <v>585</v>
      </c>
      <c r="D10" s="137"/>
      <c r="E10" s="137"/>
      <c r="F10" s="137"/>
      <c r="G10" s="137"/>
      <c r="H10" s="137"/>
      <c r="I10" s="137"/>
      <c r="J10" s="77"/>
      <c r="K10" s="138" t="str">
        <f>IF(Source!AK15 &lt;&gt; "", Source!AK15, "")</f>
        <v/>
      </c>
      <c r="L10" s="139"/>
      <c r="M10" s="140"/>
    </row>
    <row r="11" spans="1:13" ht="14.25" customHeight="1">
      <c r="A11" s="135" t="s">
        <v>586</v>
      </c>
      <c r="B11" s="135"/>
      <c r="C11" s="136" t="str">
        <f>IF(Source!AX12&lt;&gt; "", Source!AX12, IF(Source!AJ12 &lt;&gt; "", Source!AJ12, ""))</f>
        <v/>
      </c>
      <c r="D11" s="136"/>
      <c r="E11" s="136"/>
      <c r="F11" s="136"/>
      <c r="G11" s="136"/>
      <c r="H11" s="136"/>
      <c r="I11" s="136"/>
      <c r="J11" s="78" t="s">
        <v>584</v>
      </c>
      <c r="K11" s="141"/>
      <c r="L11" s="142"/>
      <c r="M11" s="143"/>
    </row>
    <row r="12" spans="1:13" ht="12.75" customHeight="1">
      <c r="A12" s="26"/>
      <c r="B12" s="26"/>
      <c r="C12" s="137" t="s">
        <v>585</v>
      </c>
      <c r="D12" s="137"/>
      <c r="E12" s="137"/>
      <c r="F12" s="137"/>
      <c r="G12" s="137"/>
      <c r="H12" s="137"/>
      <c r="I12" s="137"/>
      <c r="J12" s="77"/>
      <c r="K12" s="138" t="str">
        <f>IF(Source!AO15 &lt;&gt; "", Source!AO15, "")</f>
        <v/>
      </c>
      <c r="L12" s="139"/>
      <c r="M12" s="140"/>
    </row>
    <row r="13" spans="1:13" ht="14.25" customHeight="1">
      <c r="A13" s="135" t="s">
        <v>587</v>
      </c>
      <c r="B13" s="135"/>
      <c r="C13" s="136" t="str">
        <f>IF(Source!AY12&lt;&gt; "", Source!AY12, IF(Source!AN12 &lt;&gt; "", Source!AN12, ""))</f>
        <v/>
      </c>
      <c r="D13" s="136"/>
      <c r="E13" s="136"/>
      <c r="F13" s="136"/>
      <c r="G13" s="136"/>
      <c r="H13" s="136"/>
      <c r="I13" s="136"/>
      <c r="J13" s="78" t="s">
        <v>584</v>
      </c>
      <c r="K13" s="141"/>
      <c r="L13" s="142"/>
      <c r="M13" s="143"/>
    </row>
    <row r="14" spans="1:13" ht="12.75" customHeight="1">
      <c r="A14" s="26"/>
      <c r="B14" s="26"/>
      <c r="C14" s="137" t="s">
        <v>585</v>
      </c>
      <c r="D14" s="137"/>
      <c r="E14" s="137"/>
      <c r="F14" s="137"/>
      <c r="G14" s="137"/>
      <c r="H14" s="137"/>
      <c r="I14" s="137"/>
      <c r="J14" s="77"/>
      <c r="K14" s="138" t="str">
        <f>IF(Source!CO15 &lt;&gt; "", Source!CO15, "")</f>
        <v/>
      </c>
      <c r="L14" s="139"/>
      <c r="M14" s="140"/>
    </row>
    <row r="15" spans="1:13" ht="14.25" customHeight="1">
      <c r="A15" s="135" t="s">
        <v>588</v>
      </c>
      <c r="B15" s="135"/>
      <c r="C15" s="136" t="s">
        <v>5</v>
      </c>
      <c r="D15" s="136"/>
      <c r="E15" s="136"/>
      <c r="F15" s="136"/>
      <c r="G15" s="136"/>
      <c r="H15" s="136"/>
      <c r="I15" s="136"/>
      <c r="J15" s="79"/>
      <c r="K15" s="141"/>
      <c r="L15" s="142"/>
      <c r="M15" s="143"/>
    </row>
    <row r="16" spans="1:13" ht="12.75" customHeight="1">
      <c r="A16" s="26"/>
      <c r="B16" s="26"/>
      <c r="C16" s="137" t="s">
        <v>589</v>
      </c>
      <c r="D16" s="137"/>
      <c r="E16" s="137"/>
      <c r="F16" s="137"/>
      <c r="G16" s="137"/>
      <c r="H16" s="137"/>
      <c r="I16" s="137"/>
      <c r="J16" s="77"/>
      <c r="K16" s="138" t="str">
        <f>IF(Source!CP15 &lt;&gt; "", Source!CP15, "")</f>
        <v/>
      </c>
      <c r="L16" s="139"/>
      <c r="M16" s="140"/>
    </row>
    <row r="17" spans="1:13" ht="14.25" customHeight="1">
      <c r="A17" s="135" t="s">
        <v>590</v>
      </c>
      <c r="B17" s="135"/>
      <c r="C17" s="136" t="str">
        <f>IF(Source!G12&lt;&gt;"Новый объект", Source!G12, "")</f>
        <v>Монтаж АИИС КУЭ "Матрица" в ТП-1037</v>
      </c>
      <c r="D17" s="136"/>
      <c r="E17" s="136"/>
      <c r="F17" s="136"/>
      <c r="G17" s="136"/>
      <c r="H17" s="136"/>
      <c r="I17" s="136"/>
      <c r="J17" s="79"/>
      <c r="K17" s="141"/>
      <c r="L17" s="142"/>
      <c r="M17" s="143"/>
    </row>
    <row r="18" spans="1:13" ht="12.75" customHeight="1">
      <c r="A18" s="26"/>
      <c r="B18" s="26"/>
      <c r="C18" s="137" t="s">
        <v>591</v>
      </c>
      <c r="D18" s="137"/>
      <c r="E18" s="137"/>
      <c r="F18" s="137"/>
      <c r="G18" s="137"/>
      <c r="H18" s="137"/>
      <c r="I18" s="137"/>
      <c r="J18" s="26"/>
      <c r="K18" s="81"/>
      <c r="L18" s="81"/>
      <c r="M18" s="81"/>
    </row>
    <row r="19" spans="1:13" ht="14.25" customHeight="1">
      <c r="A19" s="26"/>
      <c r="B19" s="26"/>
      <c r="C19" s="26"/>
      <c r="D19" s="26"/>
      <c r="E19" s="26"/>
      <c r="F19" s="26"/>
      <c r="G19" s="26"/>
      <c r="H19" s="148" t="s">
        <v>592</v>
      </c>
      <c r="I19" s="148"/>
      <c r="J19" s="149"/>
      <c r="K19" s="145" t="str">
        <f>IF(Source!CQ15 &lt;&gt; "", Source!CQ15, "")</f>
        <v/>
      </c>
      <c r="L19" s="146"/>
      <c r="M19" s="147"/>
    </row>
    <row r="20" spans="1:13" ht="14.25" customHeight="1">
      <c r="A20" s="26"/>
      <c r="B20" s="26"/>
      <c r="C20" s="26"/>
      <c r="D20" s="26"/>
      <c r="E20" s="26"/>
      <c r="F20" s="26"/>
      <c r="G20" s="26"/>
      <c r="H20" s="150" t="s">
        <v>593</v>
      </c>
      <c r="I20" s="151"/>
      <c r="J20" s="82" t="s">
        <v>594</v>
      </c>
      <c r="K20" s="145" t="str">
        <f>IF(Source!CR15 &lt;&gt; "", Source!CR15, "")</f>
        <v/>
      </c>
      <c r="L20" s="146"/>
      <c r="M20" s="147"/>
    </row>
    <row r="21" spans="1:13" ht="14.25" customHeight="1">
      <c r="A21" s="26"/>
      <c r="B21" s="26"/>
      <c r="C21" s="26"/>
      <c r="D21" s="26"/>
      <c r="E21" s="26"/>
      <c r="F21" s="26"/>
      <c r="G21" s="26"/>
      <c r="H21" s="26"/>
      <c r="I21" s="76"/>
      <c r="J21" s="82" t="s">
        <v>595</v>
      </c>
      <c r="K21" s="152" t="str">
        <f>IF(Source!CS15 &lt;&gt; 0, Source!CS15, "")</f>
        <v/>
      </c>
      <c r="L21" s="153"/>
      <c r="M21" s="154"/>
    </row>
    <row r="22" spans="1:13" ht="14.25" customHeight="1">
      <c r="A22" s="26"/>
      <c r="B22" s="26"/>
      <c r="C22" s="26"/>
      <c r="D22" s="26"/>
      <c r="E22" s="26"/>
      <c r="F22" s="26"/>
      <c r="G22" s="26"/>
      <c r="H22" s="26"/>
      <c r="I22" s="26"/>
      <c r="J22" s="83" t="s">
        <v>596</v>
      </c>
      <c r="K22" s="145" t="str">
        <f>IF(Source!CT15 &lt;&gt; "", Source!CT15, "")</f>
        <v/>
      </c>
      <c r="L22" s="146"/>
      <c r="M22" s="147"/>
    </row>
    <row r="23" spans="1:13" ht="12.75" customHeight="1">
      <c r="A23" s="26"/>
      <c r="B23" s="26"/>
      <c r="C23" s="26"/>
      <c r="D23" s="26"/>
      <c r="E23" s="26"/>
      <c r="F23" s="26"/>
      <c r="G23" s="84"/>
      <c r="H23" s="84"/>
      <c r="I23" s="84"/>
      <c r="J23" s="84"/>
      <c r="K23" s="80"/>
      <c r="L23" s="80"/>
      <c r="M23" s="80"/>
    </row>
    <row r="24" spans="1:13" ht="12.75" customHeight="1">
      <c r="A24" s="26"/>
      <c r="B24" s="26"/>
      <c r="C24" s="26"/>
      <c r="D24" s="26"/>
      <c r="E24" s="26"/>
      <c r="F24" s="77"/>
      <c r="G24" s="155" t="s">
        <v>597</v>
      </c>
      <c r="H24" s="113" t="s">
        <v>598</v>
      </c>
      <c r="I24" s="158" t="s">
        <v>599</v>
      </c>
      <c r="J24" s="159"/>
      <c r="K24" s="85"/>
      <c r="L24" s="26"/>
      <c r="M24" s="26"/>
    </row>
    <row r="25" spans="1:13" ht="12.75" customHeight="1">
      <c r="A25" s="26"/>
      <c r="B25" s="26"/>
      <c r="C25" s="26"/>
      <c r="D25" s="26"/>
      <c r="E25" s="26"/>
      <c r="F25" s="79"/>
      <c r="G25" s="156"/>
      <c r="H25" s="157"/>
      <c r="I25" s="33" t="s">
        <v>600</v>
      </c>
      <c r="J25" s="33" t="s">
        <v>601</v>
      </c>
      <c r="K25" s="85"/>
      <c r="L25" s="26"/>
      <c r="M25" s="26"/>
    </row>
    <row r="26" spans="1:13" ht="12.75" customHeight="1">
      <c r="A26" s="26"/>
      <c r="B26" s="26"/>
      <c r="C26" s="26"/>
      <c r="D26" s="26"/>
      <c r="E26" s="26"/>
      <c r="F26" s="76"/>
      <c r="G26" s="86" t="str">
        <f>IF(Source!CN15 &lt;&gt; "", Source!CN15, "")</f>
        <v/>
      </c>
      <c r="H26" s="87" t="str">
        <f>IF(Source!CX15 &lt;&gt; 0, Source!CX15, "")</f>
        <v/>
      </c>
      <c r="I26" s="87" t="str">
        <f>IF(Source!CV15 &lt;&gt; 0, Source!CV15, "")</f>
        <v/>
      </c>
      <c r="J26" s="87" t="str">
        <f>IF(Source!CW15 &lt;&gt; 0, Source!CW15, "")</f>
        <v/>
      </c>
      <c r="K26" s="85"/>
      <c r="L26" s="26"/>
      <c r="M26" s="26"/>
    </row>
    <row r="27" spans="1:13" ht="12.75" customHeight="1">
      <c r="A27" s="26"/>
      <c r="B27" s="26"/>
      <c r="C27" s="26"/>
      <c r="D27" s="26"/>
      <c r="E27" s="26"/>
      <c r="F27" s="26"/>
      <c r="G27" s="80"/>
      <c r="H27" s="80"/>
      <c r="I27" s="80"/>
      <c r="J27" s="80"/>
      <c r="K27" s="26"/>
      <c r="L27" s="26"/>
      <c r="M27" s="26"/>
    </row>
    <row r="28" spans="1:13" ht="18" customHeight="1">
      <c r="A28" s="160" t="s">
        <v>602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</row>
    <row r="29" spans="1:13" ht="18" customHeight="1">
      <c r="A29" s="160" t="s">
        <v>603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</row>
    <row r="30" spans="1:13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ht="14.25" customHeight="1">
      <c r="A31" s="161" t="s">
        <v>480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</row>
    <row r="32" spans="1:13" ht="12.75" customHeight="1">
      <c r="A32" s="158" t="s">
        <v>465</v>
      </c>
      <c r="B32" s="162"/>
      <c r="C32" s="155" t="s">
        <v>466</v>
      </c>
      <c r="D32" s="113" t="s">
        <v>467</v>
      </c>
      <c r="E32" s="113" t="s">
        <v>468</v>
      </c>
      <c r="F32" s="116" t="s">
        <v>469</v>
      </c>
      <c r="G32" s="117"/>
      <c r="H32" s="118"/>
      <c r="I32" s="116" t="s">
        <v>470</v>
      </c>
      <c r="J32" s="117"/>
      <c r="K32" s="117"/>
      <c r="L32" s="117"/>
      <c r="M32" s="118"/>
    </row>
    <row r="33" spans="1:83" ht="12.75" customHeight="1">
      <c r="A33" s="113" t="s">
        <v>465</v>
      </c>
      <c r="B33" s="165" t="s">
        <v>604</v>
      </c>
      <c r="C33" s="163"/>
      <c r="D33" s="114"/>
      <c r="E33" s="114"/>
      <c r="F33" s="119"/>
      <c r="G33" s="120"/>
      <c r="H33" s="121"/>
      <c r="I33" s="125"/>
      <c r="J33" s="120"/>
      <c r="K33" s="120"/>
      <c r="L33" s="120"/>
      <c r="M33" s="121"/>
    </row>
    <row r="34" spans="1:83" ht="12.75" customHeight="1">
      <c r="A34" s="114"/>
      <c r="B34" s="166"/>
      <c r="C34" s="163"/>
      <c r="D34" s="114"/>
      <c r="E34" s="114"/>
      <c r="F34" s="119"/>
      <c r="G34" s="120"/>
      <c r="H34" s="121"/>
      <c r="I34" s="125"/>
      <c r="J34" s="120"/>
      <c r="K34" s="120"/>
      <c r="L34" s="120"/>
      <c r="M34" s="121"/>
    </row>
    <row r="35" spans="1:83" ht="12.75" customHeight="1">
      <c r="A35" s="114"/>
      <c r="B35" s="166"/>
      <c r="C35" s="163"/>
      <c r="D35" s="114"/>
      <c r="E35" s="114"/>
      <c r="F35" s="122"/>
      <c r="G35" s="123"/>
      <c r="H35" s="124"/>
      <c r="I35" s="126"/>
      <c r="J35" s="123"/>
      <c r="K35" s="123"/>
      <c r="L35" s="123"/>
      <c r="M35" s="124"/>
    </row>
    <row r="36" spans="1:83" ht="51" customHeight="1">
      <c r="A36" s="115"/>
      <c r="B36" s="167"/>
      <c r="C36" s="164"/>
      <c r="D36" s="115"/>
      <c r="E36" s="115"/>
      <c r="F36" s="33" t="s">
        <v>471</v>
      </c>
      <c r="G36" s="33" t="s">
        <v>472</v>
      </c>
      <c r="H36" s="34" t="s">
        <v>473</v>
      </c>
      <c r="I36" s="33" t="s">
        <v>474</v>
      </c>
      <c r="J36" s="33" t="s">
        <v>475</v>
      </c>
      <c r="K36" s="33" t="s">
        <v>476</v>
      </c>
      <c r="L36" s="33" t="s">
        <v>472</v>
      </c>
      <c r="M36" s="33" t="s">
        <v>477</v>
      </c>
    </row>
    <row r="37" spans="1:83" ht="12.75" customHeight="1">
      <c r="A37" s="88">
        <v>1</v>
      </c>
      <c r="B37" s="88">
        <v>2</v>
      </c>
      <c r="C37" s="88">
        <v>3</v>
      </c>
      <c r="D37" s="88">
        <v>4</v>
      </c>
      <c r="E37" s="88">
        <v>5</v>
      </c>
      <c r="F37" s="88">
        <v>6</v>
      </c>
      <c r="G37" s="88">
        <v>7</v>
      </c>
      <c r="H37" s="88">
        <v>8</v>
      </c>
      <c r="I37" s="88">
        <v>9</v>
      </c>
      <c r="J37" s="88">
        <v>10</v>
      </c>
      <c r="K37" s="88">
        <v>11</v>
      </c>
      <c r="L37" s="88">
        <v>12</v>
      </c>
      <c r="M37" s="88">
        <v>13</v>
      </c>
    </row>
    <row r="39" spans="1:83" ht="16.5">
      <c r="A39" s="110" t="s">
        <v>605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</row>
    <row r="41" spans="1:83" ht="16.5">
      <c r="A41" s="110" t="s">
        <v>481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</row>
    <row r="42" spans="1:83" ht="28.5">
      <c r="A42" s="40" t="s">
        <v>17</v>
      </c>
      <c r="B42" s="42">
        <v>1</v>
      </c>
      <c r="C42" s="42" t="s">
        <v>482</v>
      </c>
      <c r="D42" s="42" t="str">
        <f>Source!G28</f>
        <v>Счетчики, устанавливаемые на готовом основании: однофазные</v>
      </c>
      <c r="E42" s="43" t="str">
        <f>Source!H28</f>
        <v>ШТ</v>
      </c>
      <c r="F42" s="47">
        <f>Source!K28</f>
        <v>187</v>
      </c>
      <c r="G42" s="41"/>
      <c r="H42" s="47">
        <f>Source!I28</f>
        <v>187</v>
      </c>
      <c r="I42" s="48"/>
      <c r="J42" s="46"/>
      <c r="K42" s="48"/>
      <c r="L42" s="42"/>
      <c r="M42" s="48"/>
    </row>
    <row r="43" spans="1:83" ht="15">
      <c r="A43" s="41"/>
      <c r="B43" s="41"/>
      <c r="C43" s="45">
        <v>1</v>
      </c>
      <c r="D43" s="41" t="s">
        <v>483</v>
      </c>
      <c r="E43" s="43" t="s">
        <v>321</v>
      </c>
      <c r="F43" s="47"/>
      <c r="G43" s="45"/>
      <c r="H43" s="47">
        <f>Source!U28</f>
        <v>52.36</v>
      </c>
      <c r="I43" s="45"/>
      <c r="J43" s="45"/>
      <c r="K43" s="45"/>
      <c r="L43" s="45"/>
      <c r="M43" s="49">
        <f>SUM(M44:M44)-SUMIF(CE44:CE44, 1, M44:M44)</f>
        <v>16344.7</v>
      </c>
    </row>
    <row r="44" spans="1:83" ht="28.5">
      <c r="A44" s="42"/>
      <c r="B44" s="42"/>
      <c r="C44" s="42" t="s">
        <v>319</v>
      </c>
      <c r="D44" s="42" t="s">
        <v>320</v>
      </c>
      <c r="E44" s="43" t="s">
        <v>321</v>
      </c>
      <c r="F44" s="47">
        <v>0.28000000000000003</v>
      </c>
      <c r="G44" s="41"/>
      <c r="H44" s="47">
        <f>SmtRes!CX1</f>
        <v>52.36</v>
      </c>
      <c r="I44" s="48"/>
      <c r="J44" s="46"/>
      <c r="K44" s="48">
        <f>SmtRes!CZ1</f>
        <v>312.16000000000003</v>
      </c>
      <c r="L44" s="42"/>
      <c r="M44" s="48">
        <f>SmtRes!DI1</f>
        <v>16344.7</v>
      </c>
    </row>
    <row r="45" spans="1:83" ht="15">
      <c r="A45" s="41"/>
      <c r="B45" s="41"/>
      <c r="C45" s="45">
        <v>2</v>
      </c>
      <c r="D45" s="41" t="s">
        <v>484</v>
      </c>
      <c r="E45" s="43"/>
      <c r="F45" s="47"/>
      <c r="G45" s="45"/>
      <c r="H45" s="47"/>
      <c r="I45" s="45"/>
      <c r="J45" s="45"/>
      <c r="K45" s="45"/>
      <c r="L45" s="45"/>
      <c r="M45" s="49">
        <f>SUM(M46:M50)-SUMIF(CE46:CE50, 1, M46:M50)</f>
        <v>3741.4799999999996</v>
      </c>
    </row>
    <row r="46" spans="1:83" ht="15">
      <c r="A46" s="41"/>
      <c r="B46" s="41"/>
      <c r="C46" s="45"/>
      <c r="D46" s="41" t="s">
        <v>487</v>
      </c>
      <c r="E46" s="43" t="s">
        <v>321</v>
      </c>
      <c r="F46" s="47"/>
      <c r="G46" s="45"/>
      <c r="H46" s="47">
        <f>Source!V28</f>
        <v>3.74</v>
      </c>
      <c r="I46" s="45"/>
      <c r="J46" s="45"/>
      <c r="K46" s="45"/>
      <c r="L46" s="45"/>
      <c r="M46" s="49">
        <f>SUMIF(CE47:CE50, 1, M47:M50)</f>
        <v>1328.21</v>
      </c>
      <c r="CE46">
        <v>1</v>
      </c>
    </row>
    <row r="47" spans="1:83" ht="28.5">
      <c r="A47" s="42"/>
      <c r="B47" s="42"/>
      <c r="C47" s="42" t="s">
        <v>324</v>
      </c>
      <c r="D47" s="42" t="s">
        <v>326</v>
      </c>
      <c r="E47" s="43" t="s">
        <v>327</v>
      </c>
      <c r="F47" s="47">
        <v>0.01</v>
      </c>
      <c r="G47" s="41"/>
      <c r="H47" s="47">
        <f>SmtRes!CX3</f>
        <v>1.87</v>
      </c>
      <c r="I47" s="48"/>
      <c r="J47" s="46"/>
      <c r="K47" s="48">
        <f>SmtRes!CZ3</f>
        <v>1442.85</v>
      </c>
      <c r="L47" s="42"/>
      <c r="M47" s="48">
        <f>SmtRes!DG3</f>
        <v>2698.13</v>
      </c>
    </row>
    <row r="48" spans="1:83" ht="28.5">
      <c r="A48" s="42"/>
      <c r="B48" s="42"/>
      <c r="C48" s="42" t="s">
        <v>328</v>
      </c>
      <c r="D48" s="42" t="s">
        <v>485</v>
      </c>
      <c r="E48" s="43" t="s">
        <v>321</v>
      </c>
      <c r="F48" s="47">
        <f>SmtRes!DO3*SmtRes!AT3</f>
        <v>0.01</v>
      </c>
      <c r="G48" s="41"/>
      <c r="H48" s="47">
        <f>SmtRes!DO3*SmtRes!CX3</f>
        <v>1.87</v>
      </c>
      <c r="I48" s="48"/>
      <c r="J48" s="46"/>
      <c r="K48" s="48">
        <f>ROUND(SmtRes!AG3/SmtRes!DO3, 2)</f>
        <v>407.16</v>
      </c>
      <c r="L48" s="42"/>
      <c r="M48" s="48">
        <f>SmtRes!DH3</f>
        <v>761.39</v>
      </c>
      <c r="CE48">
        <v>1</v>
      </c>
    </row>
    <row r="49" spans="1:83" ht="28.5">
      <c r="A49" s="42"/>
      <c r="B49" s="42"/>
      <c r="C49" s="42" t="s">
        <v>329</v>
      </c>
      <c r="D49" s="42" t="s">
        <v>331</v>
      </c>
      <c r="E49" s="43" t="s">
        <v>327</v>
      </c>
      <c r="F49" s="47">
        <v>0.01</v>
      </c>
      <c r="G49" s="41"/>
      <c r="H49" s="47">
        <f>SmtRes!CX4</f>
        <v>1.87</v>
      </c>
      <c r="I49" s="48"/>
      <c r="J49" s="46"/>
      <c r="K49" s="48">
        <f>SmtRes!CZ4</f>
        <v>557.94000000000005</v>
      </c>
      <c r="L49" s="42"/>
      <c r="M49" s="48">
        <f>SmtRes!DG4</f>
        <v>1043.3499999999999</v>
      </c>
    </row>
    <row r="50" spans="1:83" ht="28.5">
      <c r="A50" s="42"/>
      <c r="B50" s="42"/>
      <c r="C50" s="42" t="s">
        <v>332</v>
      </c>
      <c r="D50" s="42" t="s">
        <v>486</v>
      </c>
      <c r="E50" s="43" t="s">
        <v>321</v>
      </c>
      <c r="F50" s="47">
        <f>SmtRes!DO4*SmtRes!AT4</f>
        <v>0.01</v>
      </c>
      <c r="G50" s="41"/>
      <c r="H50" s="47">
        <f>SmtRes!DO4*SmtRes!CX4</f>
        <v>1.87</v>
      </c>
      <c r="I50" s="48"/>
      <c r="J50" s="46"/>
      <c r="K50" s="48">
        <f>ROUND(SmtRes!AG4/SmtRes!DO4, 2)</f>
        <v>303.11</v>
      </c>
      <c r="L50" s="42"/>
      <c r="M50" s="48">
        <f>SmtRes!DH4</f>
        <v>566.82000000000005</v>
      </c>
      <c r="CE50">
        <v>1</v>
      </c>
    </row>
    <row r="51" spans="1:83" ht="15">
      <c r="A51" s="41"/>
      <c r="B51" s="41"/>
      <c r="C51" s="45">
        <v>4</v>
      </c>
      <c r="D51" s="41" t="s">
        <v>488</v>
      </c>
      <c r="E51" s="43"/>
      <c r="F51" s="47"/>
      <c r="G51" s="45"/>
      <c r="H51" s="47"/>
      <c r="I51" s="45"/>
      <c r="J51" s="45"/>
      <c r="K51" s="45"/>
      <c r="L51" s="45"/>
      <c r="M51" s="49">
        <f>SUM(M52:M52)-SUMIF(CE52:CE52, 1, M52:M52)</f>
        <v>829.11</v>
      </c>
    </row>
    <row r="52" spans="1:83" ht="28.5">
      <c r="A52" s="42"/>
      <c r="B52" s="42"/>
      <c r="C52" s="42" t="s">
        <v>333</v>
      </c>
      <c r="D52" s="50" t="s">
        <v>335</v>
      </c>
      <c r="E52" s="51" t="s">
        <v>37</v>
      </c>
      <c r="F52" s="52">
        <v>3.0000000000000001E-5</v>
      </c>
      <c r="G52" s="53"/>
      <c r="H52" s="52">
        <f>SmtRes!CX5</f>
        <v>5.6100000000000004E-3</v>
      </c>
      <c r="I52" s="54">
        <f>SmtRes!CZ5</f>
        <v>127406</v>
      </c>
      <c r="J52" s="55">
        <f>SmtRes!AI5</f>
        <v>1.1599999999999999</v>
      </c>
      <c r="K52" s="54">
        <f>ROUND(I52*J52, 2)</f>
        <v>147790.96</v>
      </c>
      <c r="L52" s="50"/>
      <c r="M52" s="54">
        <f>SmtRes!DF5</f>
        <v>829.11</v>
      </c>
    </row>
    <row r="53" spans="1:83" ht="15">
      <c r="A53" s="42"/>
      <c r="B53" s="42"/>
      <c r="C53" s="42"/>
      <c r="D53" s="58" t="s">
        <v>489</v>
      </c>
      <c r="E53" s="43"/>
      <c r="F53" s="47"/>
      <c r="G53" s="41"/>
      <c r="H53" s="47"/>
      <c r="I53" s="48"/>
      <c r="J53" s="46"/>
      <c r="K53" s="48"/>
      <c r="L53" s="42"/>
      <c r="M53" s="48">
        <f>M43+M45+M46+M51</f>
        <v>22243.5</v>
      </c>
    </row>
    <row r="54" spans="1:83" ht="57">
      <c r="A54" s="40" t="s">
        <v>490</v>
      </c>
      <c r="B54" s="42" t="s">
        <v>27</v>
      </c>
      <c r="C54" s="42" t="str">
        <f>Source!F29</f>
        <v>421/пр_2020_п.75_пп.а</v>
      </c>
      <c r="D54" s="42" t="str">
        <f>Source!G29</f>
        <v>Сметная стоимость вспомогательных ненормируемых материальных ресурсов, не учтенная в сметной норме, 2%</v>
      </c>
      <c r="E54" s="43" t="str">
        <f>Source!H29</f>
        <v>%</v>
      </c>
      <c r="F54" s="47">
        <f>SmtRes!AT6</f>
        <v>2</v>
      </c>
      <c r="G54" s="41"/>
      <c r="H54" s="47">
        <f>Source!I29</f>
        <v>2</v>
      </c>
      <c r="I54" s="48"/>
      <c r="J54" s="46"/>
      <c r="K54" s="48"/>
      <c r="L54" s="42"/>
      <c r="M54" s="48">
        <f>Source!P29</f>
        <v>326.89</v>
      </c>
      <c r="AD54">
        <f>ROUND((Source!AT29/100)*((ROUND(0*Source!I29, 2)+ROUND(0*Source!I29, 2))), 2)</f>
        <v>0</v>
      </c>
      <c r="AE54">
        <f>ROUND((Source!AU29/100)*((ROUND(0*Source!I29, 2)+ROUND(0*Source!I29, 2))), 2)</f>
        <v>0</v>
      </c>
      <c r="AN54">
        <f>M54</f>
        <v>326.89</v>
      </c>
      <c r="AW54">
        <f>M54</f>
        <v>326.89</v>
      </c>
      <c r="AZ54">
        <f>Source!X29</f>
        <v>0</v>
      </c>
      <c r="BA54">
        <f>Source!Y29</f>
        <v>0</v>
      </c>
      <c r="CD54">
        <v>4</v>
      </c>
    </row>
    <row r="55" spans="1:83" ht="14.25">
      <c r="A55" s="42"/>
      <c r="B55" s="42"/>
      <c r="C55" s="42"/>
      <c r="D55" s="42" t="s">
        <v>491</v>
      </c>
      <c r="E55" s="43"/>
      <c r="F55" s="47"/>
      <c r="G55" s="41"/>
      <c r="H55" s="47"/>
      <c r="I55" s="48"/>
      <c r="J55" s="46"/>
      <c r="K55" s="48"/>
      <c r="L55" s="42"/>
      <c r="M55" s="48">
        <f>SUM(AR42:AR58)+SUM(AS42:AS58)+SUM(AT42:AT58)+SUM(AU42:AU58)+SUM(AV42:AV58)</f>
        <v>17672.91</v>
      </c>
    </row>
    <row r="56" spans="1:83" ht="28.5">
      <c r="A56" s="42"/>
      <c r="B56" s="42"/>
      <c r="C56" s="42" t="s">
        <v>25</v>
      </c>
      <c r="D56" s="42" t="s">
        <v>492</v>
      </c>
      <c r="E56" s="43" t="s">
        <v>30</v>
      </c>
      <c r="F56" s="47">
        <f>Source!BZ28</f>
        <v>97</v>
      </c>
      <c r="G56" s="41"/>
      <c r="H56" s="47">
        <f>Source!AT28</f>
        <v>97</v>
      </c>
      <c r="I56" s="48"/>
      <c r="J56" s="46"/>
      <c r="K56" s="48"/>
      <c r="L56" s="42"/>
      <c r="M56" s="48">
        <f>SUM(AZ42:AZ58)</f>
        <v>17142.72</v>
      </c>
    </row>
    <row r="57" spans="1:83" ht="28.5">
      <c r="A57" s="50"/>
      <c r="B57" s="50"/>
      <c r="C57" s="50" t="s">
        <v>26</v>
      </c>
      <c r="D57" s="50" t="s">
        <v>493</v>
      </c>
      <c r="E57" s="51" t="s">
        <v>30</v>
      </c>
      <c r="F57" s="52">
        <f>Source!CA28</f>
        <v>51</v>
      </c>
      <c r="G57" s="53"/>
      <c r="H57" s="52">
        <f>Source!AU28</f>
        <v>51</v>
      </c>
      <c r="I57" s="54"/>
      <c r="J57" s="55"/>
      <c r="K57" s="54"/>
      <c r="L57" s="50"/>
      <c r="M57" s="54">
        <f>SUM(BA42:BA58)</f>
        <v>9013.18</v>
      </c>
    </row>
    <row r="58" spans="1:83" ht="15">
      <c r="D58" s="111" t="s">
        <v>494</v>
      </c>
      <c r="E58" s="111"/>
      <c r="F58" s="111"/>
      <c r="G58" s="111"/>
      <c r="H58" s="111"/>
      <c r="I58" s="111"/>
      <c r="J58" s="112">
        <f>L58/F42</f>
        <v>260.56839572192513</v>
      </c>
      <c r="K58" s="112"/>
      <c r="L58" s="112">
        <f>M43+M45+M51+M56+M57+M46+SUM(M54:M54)</f>
        <v>48726.29</v>
      </c>
      <c r="M58" s="112"/>
      <c r="AD58">
        <f>ROUND((Source!AT28/100)*((ROUND(SUMIF(SmtRes!AQ1:'SmtRes'!AQ6,"=1",SmtRes!AD1:'SmtRes'!AD6)*Source!I28, 2)+ROUND(SUMIF(SmtRes!AQ1:'SmtRes'!AQ6,"=1",SmtRes!AC1:'SmtRes'!AC6)*Source!I28, 2))), 2)</f>
        <v>185458.58</v>
      </c>
      <c r="AE58">
        <f>ROUND((Source!AU28/100)*((ROUND(SUMIF(SmtRes!AQ1:'SmtRes'!AQ6,"=1",SmtRes!AD1:'SmtRes'!AD6)*Source!I28, 2)+ROUND(SUMIF(SmtRes!AQ1:'SmtRes'!AQ6,"=1",SmtRes!AC1:'SmtRes'!AC6)*Source!I28, 2))), 2)</f>
        <v>97509.15</v>
      </c>
      <c r="AN58" s="56">
        <f>M43+M45+M51+M56+M57+M46</f>
        <v>48399.4</v>
      </c>
      <c r="AO58" s="56">
        <f>M45</f>
        <v>3741.4799999999996</v>
      </c>
      <c r="AQ58" t="s">
        <v>495</v>
      </c>
      <c r="AR58" s="56">
        <f>M43</f>
        <v>16344.7</v>
      </c>
      <c r="AT58" s="56">
        <f>M46</f>
        <v>1328.21</v>
      </c>
      <c r="AV58" t="s">
        <v>495</v>
      </c>
      <c r="AW58" s="56">
        <f>M51</f>
        <v>829.11</v>
      </c>
      <c r="AZ58">
        <f>Source!X28</f>
        <v>17142.72</v>
      </c>
      <c r="BA58">
        <f>Source!Y28</f>
        <v>9013.18</v>
      </c>
      <c r="CD58">
        <v>2</v>
      </c>
    </row>
    <row r="59" spans="1:83" ht="68.25">
      <c r="A59" s="40" t="s">
        <v>34</v>
      </c>
      <c r="B59" s="42">
        <v>2</v>
      </c>
      <c r="C59" s="42" t="s">
        <v>496</v>
      </c>
      <c r="D59" s="42" t="s">
        <v>497</v>
      </c>
      <c r="E59" s="43" t="str">
        <f>Source!H30</f>
        <v>т</v>
      </c>
      <c r="F59" s="47">
        <f>Source!K30</f>
        <v>2.8000000000000001E-2</v>
      </c>
      <c r="G59" s="41"/>
      <c r="H59" s="47">
        <f>Source!I30</f>
        <v>2.8000000000000001E-2</v>
      </c>
      <c r="I59" s="48"/>
      <c r="J59" s="46"/>
      <c r="K59" s="48"/>
      <c r="L59" s="42"/>
      <c r="M59" s="48"/>
    </row>
    <row r="60" spans="1:83" ht="15">
      <c r="A60" s="41"/>
      <c r="B60" s="41"/>
      <c r="C60" s="45">
        <v>1</v>
      </c>
      <c r="D60" s="41" t="s">
        <v>483</v>
      </c>
      <c r="E60" s="43" t="s">
        <v>321</v>
      </c>
      <c r="F60" s="47"/>
      <c r="G60" s="45"/>
      <c r="H60" s="47">
        <f>Source!U30</f>
        <v>1.5007999999999999</v>
      </c>
      <c r="I60" s="45"/>
      <c r="J60" s="45"/>
      <c r="K60" s="45"/>
      <c r="L60" s="45"/>
      <c r="M60" s="49">
        <f>SUM(M61:M61)-SUMIF(CE61:CE61, 1, M61:M61)</f>
        <v>454.91</v>
      </c>
    </row>
    <row r="61" spans="1:83" ht="28.5">
      <c r="A61" s="42"/>
      <c r="B61" s="42"/>
      <c r="C61" s="42" t="s">
        <v>336</v>
      </c>
      <c r="D61" s="42" t="s">
        <v>337</v>
      </c>
      <c r="E61" s="43" t="s">
        <v>321</v>
      </c>
      <c r="F61" s="47">
        <v>53.6</v>
      </c>
      <c r="G61" s="41"/>
      <c r="H61" s="47">
        <f>SmtRes!CX7</f>
        <v>1.5007999999999999</v>
      </c>
      <c r="I61" s="48"/>
      <c r="J61" s="46"/>
      <c r="K61" s="48">
        <f>SmtRes!CZ7</f>
        <v>303.11</v>
      </c>
      <c r="L61" s="42"/>
      <c r="M61" s="48">
        <f>SmtRes!DI7</f>
        <v>454.91</v>
      </c>
    </row>
    <row r="62" spans="1:83" ht="15">
      <c r="A62" s="41"/>
      <c r="B62" s="41"/>
      <c r="C62" s="45">
        <v>2</v>
      </c>
      <c r="D62" s="41" t="s">
        <v>484</v>
      </c>
      <c r="E62" s="43"/>
      <c r="F62" s="47"/>
      <c r="G62" s="45"/>
      <c r="H62" s="47"/>
      <c r="I62" s="45"/>
      <c r="J62" s="45"/>
      <c r="K62" s="45"/>
      <c r="L62" s="45"/>
      <c r="M62" s="49">
        <f>SUM(M63:M68)-SUMIF(CE63:CE68, 1, M63:M68)</f>
        <v>96.149999999999991</v>
      </c>
    </row>
    <row r="63" spans="1:83" ht="15">
      <c r="A63" s="41"/>
      <c r="B63" s="41"/>
      <c r="C63" s="45"/>
      <c r="D63" s="41" t="s">
        <v>487</v>
      </c>
      <c r="E63" s="43" t="s">
        <v>321</v>
      </c>
      <c r="F63" s="47"/>
      <c r="G63" s="45"/>
      <c r="H63" s="47">
        <f>Source!V30</f>
        <v>0.45556000000000002</v>
      </c>
      <c r="I63" s="45"/>
      <c r="J63" s="45"/>
      <c r="K63" s="45"/>
      <c r="L63" s="45"/>
      <c r="M63" s="49">
        <f>SUMIF(CE64:CE68, 1, M64:M68)</f>
        <v>31.82</v>
      </c>
      <c r="CE63">
        <v>1</v>
      </c>
    </row>
    <row r="64" spans="1:83" ht="28.5">
      <c r="A64" s="42"/>
      <c r="B64" s="42"/>
      <c r="C64" s="42" t="s">
        <v>324</v>
      </c>
      <c r="D64" s="42" t="s">
        <v>326</v>
      </c>
      <c r="E64" s="43" t="s">
        <v>327</v>
      </c>
      <c r="F64" s="47">
        <v>1.6</v>
      </c>
      <c r="G64" s="41"/>
      <c r="H64" s="47">
        <f>SmtRes!CX9</f>
        <v>4.48E-2</v>
      </c>
      <c r="I64" s="48"/>
      <c r="J64" s="46"/>
      <c r="K64" s="48">
        <f>SmtRes!CZ9</f>
        <v>1442.85</v>
      </c>
      <c r="L64" s="42"/>
      <c r="M64" s="48">
        <f>SmtRes!DG9</f>
        <v>64.64</v>
      </c>
    </row>
    <row r="65" spans="1:83" ht="28.5">
      <c r="A65" s="42"/>
      <c r="B65" s="42"/>
      <c r="C65" s="42" t="s">
        <v>328</v>
      </c>
      <c r="D65" s="42" t="s">
        <v>485</v>
      </c>
      <c r="E65" s="43" t="s">
        <v>321</v>
      </c>
      <c r="F65" s="47">
        <f>SmtRes!DO9*SmtRes!AT9</f>
        <v>1.6</v>
      </c>
      <c r="G65" s="41"/>
      <c r="H65" s="47">
        <f>SmtRes!DO9*SmtRes!CX9</f>
        <v>4.48E-2</v>
      </c>
      <c r="I65" s="48"/>
      <c r="J65" s="46"/>
      <c r="K65" s="48">
        <f>ROUND(SmtRes!AG9/SmtRes!DO9, 2)</f>
        <v>407.16</v>
      </c>
      <c r="L65" s="42"/>
      <c r="M65" s="48">
        <f>SmtRes!DH9</f>
        <v>18.239999999999998</v>
      </c>
      <c r="CE65">
        <v>1</v>
      </c>
    </row>
    <row r="66" spans="1:83" ht="28.5">
      <c r="A66" s="42"/>
      <c r="B66" s="42"/>
      <c r="C66" s="42" t="s">
        <v>329</v>
      </c>
      <c r="D66" s="42" t="s">
        <v>331</v>
      </c>
      <c r="E66" s="43" t="s">
        <v>327</v>
      </c>
      <c r="F66" s="47">
        <v>1.6</v>
      </c>
      <c r="G66" s="41"/>
      <c r="H66" s="47">
        <f>SmtRes!CX10</f>
        <v>4.48E-2</v>
      </c>
      <c r="I66" s="48"/>
      <c r="J66" s="46"/>
      <c r="K66" s="48">
        <f>SmtRes!CZ10</f>
        <v>557.94000000000005</v>
      </c>
      <c r="L66" s="42"/>
      <c r="M66" s="48">
        <f>SmtRes!DG10</f>
        <v>25</v>
      </c>
    </row>
    <row r="67" spans="1:83" ht="28.5">
      <c r="A67" s="42"/>
      <c r="B67" s="42"/>
      <c r="C67" s="42" t="s">
        <v>332</v>
      </c>
      <c r="D67" s="42" t="s">
        <v>486</v>
      </c>
      <c r="E67" s="43" t="s">
        <v>321</v>
      </c>
      <c r="F67" s="47">
        <f>SmtRes!DO10*SmtRes!AT10</f>
        <v>1.6</v>
      </c>
      <c r="G67" s="41"/>
      <c r="H67" s="47">
        <f>SmtRes!DO10*SmtRes!CX10</f>
        <v>4.48E-2</v>
      </c>
      <c r="I67" s="48"/>
      <c r="J67" s="46"/>
      <c r="K67" s="48">
        <f>ROUND(SmtRes!AG10/SmtRes!DO10, 2)</f>
        <v>303.11</v>
      </c>
      <c r="L67" s="42"/>
      <c r="M67" s="48">
        <f>SmtRes!DH10</f>
        <v>13.58</v>
      </c>
      <c r="CE67">
        <v>1</v>
      </c>
    </row>
    <row r="68" spans="1:83" ht="42.75">
      <c r="A68" s="42"/>
      <c r="B68" s="42"/>
      <c r="C68" s="42" t="s">
        <v>338</v>
      </c>
      <c r="D68" s="42" t="s">
        <v>340</v>
      </c>
      <c r="E68" s="43" t="s">
        <v>327</v>
      </c>
      <c r="F68" s="47">
        <v>13.07</v>
      </c>
      <c r="G68" s="41"/>
      <c r="H68" s="47">
        <f>SmtRes!CX11</f>
        <v>0.36596000000000001</v>
      </c>
      <c r="I68" s="48"/>
      <c r="J68" s="46"/>
      <c r="K68" s="48">
        <f>SmtRes!CZ11</f>
        <v>17.78</v>
      </c>
      <c r="L68" s="42"/>
      <c r="M68" s="48">
        <f>SmtRes!DG11</f>
        <v>6.51</v>
      </c>
    </row>
    <row r="69" spans="1:83" ht="15">
      <c r="A69" s="41"/>
      <c r="B69" s="41"/>
      <c r="C69" s="45">
        <v>4</v>
      </c>
      <c r="D69" s="41" t="s">
        <v>488</v>
      </c>
      <c r="E69" s="43"/>
      <c r="F69" s="47"/>
      <c r="G69" s="45"/>
      <c r="H69" s="47"/>
      <c r="I69" s="45"/>
      <c r="J69" s="45"/>
      <c r="K69" s="45"/>
      <c r="L69" s="45"/>
      <c r="M69" s="49">
        <f>SUM(M70:M75)-SUMIF(CE70:CE75, 1, M70:M75)</f>
        <v>0</v>
      </c>
    </row>
    <row r="70" spans="1:83" ht="57">
      <c r="A70" s="42"/>
      <c r="B70" s="42"/>
      <c r="C70" s="42" t="s">
        <v>341</v>
      </c>
      <c r="D70" s="42" t="s">
        <v>343</v>
      </c>
      <c r="E70" s="43" t="s">
        <v>344</v>
      </c>
      <c r="F70" s="47">
        <v>4.2</v>
      </c>
      <c r="G70" s="41">
        <f t="shared" ref="G70:G75" si="0">ROUND(0,7)</f>
        <v>0</v>
      </c>
      <c r="H70" s="47">
        <f>SmtRes!CX12</f>
        <v>0</v>
      </c>
      <c r="I70" s="48">
        <f>SmtRes!CZ12</f>
        <v>155.63</v>
      </c>
      <c r="J70" s="46">
        <f>SmtRes!AI12</f>
        <v>1.03</v>
      </c>
      <c r="K70" s="48">
        <f>ROUND(I70*J70, 2)</f>
        <v>160.30000000000001</v>
      </c>
      <c r="L70" s="42"/>
      <c r="M70" s="48">
        <f>SmtRes!DF12</f>
        <v>0</v>
      </c>
    </row>
    <row r="71" spans="1:83" ht="28.5">
      <c r="A71" s="42"/>
      <c r="B71" s="42"/>
      <c r="C71" s="42" t="s">
        <v>345</v>
      </c>
      <c r="D71" s="42" t="s">
        <v>347</v>
      </c>
      <c r="E71" s="43" t="s">
        <v>344</v>
      </c>
      <c r="F71" s="47">
        <v>27</v>
      </c>
      <c r="G71" s="41">
        <f t="shared" si="0"/>
        <v>0</v>
      </c>
      <c r="H71" s="47">
        <f>SmtRes!CX13</f>
        <v>0</v>
      </c>
      <c r="I71" s="48">
        <f>SmtRes!CZ13</f>
        <v>174.93</v>
      </c>
      <c r="J71" s="46">
        <f>SmtRes!AI13</f>
        <v>1.1100000000000001</v>
      </c>
      <c r="K71" s="48">
        <f>ROUND(I71*J71, 2)</f>
        <v>194.17</v>
      </c>
      <c r="L71" s="42"/>
      <c r="M71" s="48">
        <f>SmtRes!DF13</f>
        <v>0</v>
      </c>
    </row>
    <row r="72" spans="1:83" ht="14.25">
      <c r="A72" s="42"/>
      <c r="B72" s="42"/>
      <c r="C72" s="42" t="s">
        <v>348</v>
      </c>
      <c r="D72" s="42" t="s">
        <v>350</v>
      </c>
      <c r="E72" s="43" t="s">
        <v>44</v>
      </c>
      <c r="F72" s="47">
        <v>0.8</v>
      </c>
      <c r="G72" s="41">
        <f t="shared" si="0"/>
        <v>0</v>
      </c>
      <c r="H72" s="47">
        <f>SmtRes!CX14</f>
        <v>0</v>
      </c>
      <c r="I72" s="48">
        <f>SmtRes!CZ14</f>
        <v>237.77</v>
      </c>
      <c r="J72" s="46">
        <f>SmtRes!AI14</f>
        <v>1.1599999999999999</v>
      </c>
      <c r="K72" s="48">
        <f>ROUND(I72*J72, 2)</f>
        <v>275.81</v>
      </c>
      <c r="L72" s="42"/>
      <c r="M72" s="48">
        <f>SmtRes!DF14</f>
        <v>0</v>
      </c>
    </row>
    <row r="73" spans="1:83" ht="28.5">
      <c r="A73" s="42"/>
      <c r="B73" s="42"/>
      <c r="C73" s="42" t="s">
        <v>351</v>
      </c>
      <c r="D73" s="42" t="s">
        <v>353</v>
      </c>
      <c r="E73" s="43" t="s">
        <v>354</v>
      </c>
      <c r="F73" s="47">
        <v>0.15</v>
      </c>
      <c r="G73" s="41">
        <f t="shared" si="0"/>
        <v>0</v>
      </c>
      <c r="H73" s="47">
        <f>SmtRes!CX15</f>
        <v>0</v>
      </c>
      <c r="I73" s="48">
        <f>SmtRes!CZ15</f>
        <v>565.20000000000005</v>
      </c>
      <c r="J73" s="46">
        <f>SmtRes!AI15</f>
        <v>1.61</v>
      </c>
      <c r="K73" s="48">
        <f>ROUND(I73*J73, 2)</f>
        <v>909.97</v>
      </c>
      <c r="L73" s="42"/>
      <c r="M73" s="48">
        <f>SmtRes!DF15</f>
        <v>0</v>
      </c>
    </row>
    <row r="74" spans="1:83" ht="42.75">
      <c r="A74" s="42"/>
      <c r="B74" s="42"/>
      <c r="C74" s="42" t="s">
        <v>355</v>
      </c>
      <c r="D74" s="42" t="s">
        <v>357</v>
      </c>
      <c r="E74" s="43" t="s">
        <v>37</v>
      </c>
      <c r="F74" s="47">
        <v>0.18</v>
      </c>
      <c r="G74" s="41">
        <f t="shared" si="0"/>
        <v>0</v>
      </c>
      <c r="H74" s="47">
        <f>SmtRes!CX16</f>
        <v>0</v>
      </c>
      <c r="I74" s="48"/>
      <c r="J74" s="46"/>
      <c r="K74" s="48">
        <f>SmtRes!CZ16</f>
        <v>6746.26</v>
      </c>
      <c r="L74" s="42"/>
      <c r="M74" s="48">
        <f>SmtRes!DF16</f>
        <v>0</v>
      </c>
    </row>
    <row r="75" spans="1:83" ht="42.75">
      <c r="A75" s="42"/>
      <c r="B75" s="42"/>
      <c r="C75" s="42" t="s">
        <v>358</v>
      </c>
      <c r="D75" s="50" t="s">
        <v>360</v>
      </c>
      <c r="E75" s="51" t="s">
        <v>37</v>
      </c>
      <c r="F75" s="52">
        <v>1</v>
      </c>
      <c r="G75" s="53">
        <f t="shared" si="0"/>
        <v>0</v>
      </c>
      <c r="H75" s="52">
        <f>SmtRes!CX17</f>
        <v>0</v>
      </c>
      <c r="I75" s="54">
        <f>SmtRes!CZ17</f>
        <v>105278.81</v>
      </c>
      <c r="J75" s="55">
        <f>SmtRes!AI17</f>
        <v>1.1100000000000001</v>
      </c>
      <c r="K75" s="54">
        <f>ROUND(I75*J75, 2)</f>
        <v>116859.48</v>
      </c>
      <c r="L75" s="50"/>
      <c r="M75" s="54">
        <f>SmtRes!DF17</f>
        <v>0</v>
      </c>
    </row>
    <row r="76" spans="1:83" ht="15">
      <c r="A76" s="42"/>
      <c r="B76" s="42"/>
      <c r="C76" s="42"/>
      <c r="D76" s="58" t="s">
        <v>489</v>
      </c>
      <c r="E76" s="43"/>
      <c r="F76" s="47"/>
      <c r="G76" s="41"/>
      <c r="H76" s="47"/>
      <c r="I76" s="48"/>
      <c r="J76" s="46"/>
      <c r="K76" s="48"/>
      <c r="L76" s="42"/>
      <c r="M76" s="48">
        <f>M60+M62+M63+M69</f>
        <v>582.88000000000011</v>
      </c>
    </row>
    <row r="77" spans="1:83" ht="57">
      <c r="A77" s="40" t="s">
        <v>498</v>
      </c>
      <c r="B77" s="42" t="s">
        <v>40</v>
      </c>
      <c r="C77" s="42" t="str">
        <f>Source!F31</f>
        <v>421/пр_2020_п.75_пп.а</v>
      </c>
      <c r="D77" s="42" t="str">
        <f>Source!G31</f>
        <v>Сметная стоимость вспомогательных ненормируемых материальных ресурсов, не учтенная в сметной норме, 2%</v>
      </c>
      <c r="E77" s="43" t="str">
        <f>Source!H31</f>
        <v>%</v>
      </c>
      <c r="F77" s="47">
        <f>SmtRes!AT18</f>
        <v>2</v>
      </c>
      <c r="G77" s="41"/>
      <c r="H77" s="47">
        <f>Source!I31</f>
        <v>2</v>
      </c>
      <c r="I77" s="48"/>
      <c r="J77" s="46"/>
      <c r="K77" s="48"/>
      <c r="L77" s="42"/>
      <c r="M77" s="48">
        <f>Source!P31</f>
        <v>9.1</v>
      </c>
      <c r="AD77">
        <f>ROUND((Source!AT31/100)*((ROUND(0*Source!I31, 2)+ROUND(0*Source!I31, 2))), 2)</f>
        <v>0</v>
      </c>
      <c r="AE77">
        <f>ROUND((Source!AU31/100)*((ROUND(0*Source!I31, 2)+ROUND(0*Source!I31, 2))), 2)</f>
        <v>0</v>
      </c>
      <c r="AN77">
        <f>M77</f>
        <v>9.1</v>
      </c>
      <c r="AW77">
        <f>M77</f>
        <v>9.1</v>
      </c>
      <c r="AZ77">
        <f>Source!X31</f>
        <v>0</v>
      </c>
      <c r="BA77">
        <f>Source!Y31</f>
        <v>0</v>
      </c>
      <c r="CD77">
        <v>4</v>
      </c>
    </row>
    <row r="78" spans="1:83" ht="14.25">
      <c r="A78" s="42"/>
      <c r="B78" s="42"/>
      <c r="C78" s="42"/>
      <c r="D78" s="42" t="s">
        <v>491</v>
      </c>
      <c r="E78" s="43"/>
      <c r="F78" s="47"/>
      <c r="G78" s="41"/>
      <c r="H78" s="47"/>
      <c r="I78" s="48"/>
      <c r="J78" s="46"/>
      <c r="K78" s="48"/>
      <c r="L78" s="42"/>
      <c r="M78" s="48">
        <f>SUM(AR59:AR81)+SUM(AS59:AS81)+SUM(AT59:AT81)+SUM(AU59:AU81)+SUM(AV59:AV81)</f>
        <v>486.73</v>
      </c>
    </row>
    <row r="79" spans="1:83" ht="28.5">
      <c r="A79" s="42"/>
      <c r="B79" s="42"/>
      <c r="C79" s="42" t="s">
        <v>25</v>
      </c>
      <c r="D79" s="42" t="s">
        <v>492</v>
      </c>
      <c r="E79" s="43" t="s">
        <v>30</v>
      </c>
      <c r="F79" s="47">
        <f>Source!BZ30</f>
        <v>97</v>
      </c>
      <c r="G79" s="41"/>
      <c r="H79" s="47">
        <f>Source!AT30</f>
        <v>97</v>
      </c>
      <c r="I79" s="48"/>
      <c r="J79" s="46"/>
      <c r="K79" s="48"/>
      <c r="L79" s="42"/>
      <c r="M79" s="48">
        <f>SUM(AZ59:AZ81)</f>
        <v>472.13</v>
      </c>
    </row>
    <row r="80" spans="1:83" ht="28.5">
      <c r="A80" s="50"/>
      <c r="B80" s="50"/>
      <c r="C80" s="50" t="s">
        <v>26</v>
      </c>
      <c r="D80" s="50" t="s">
        <v>493</v>
      </c>
      <c r="E80" s="51" t="s">
        <v>30</v>
      </c>
      <c r="F80" s="52">
        <f>Source!CA30</f>
        <v>51</v>
      </c>
      <c r="G80" s="53"/>
      <c r="H80" s="52">
        <f>Source!AU30</f>
        <v>51</v>
      </c>
      <c r="I80" s="54"/>
      <c r="J80" s="55"/>
      <c r="K80" s="54"/>
      <c r="L80" s="50"/>
      <c r="M80" s="54">
        <f>SUM(BA59:BA81)</f>
        <v>248.23</v>
      </c>
    </row>
    <row r="81" spans="1:82" ht="15">
      <c r="D81" s="111" t="s">
        <v>494</v>
      </c>
      <c r="E81" s="111"/>
      <c r="F81" s="111"/>
      <c r="G81" s="111"/>
      <c r="H81" s="111"/>
      <c r="I81" s="111"/>
      <c r="J81" s="112">
        <f>L81/F59</f>
        <v>46869.28571428571</v>
      </c>
      <c r="K81" s="112"/>
      <c r="L81" s="112">
        <f>M60+M62+M69+M79+M80+M63+SUM(M77:M77)</f>
        <v>1312.34</v>
      </c>
      <c r="M81" s="112"/>
      <c r="AD81">
        <f>ROUND((Source!AT30/100)*((ROUND(SUMIF(SmtRes!AQ7:'SmtRes'!AQ18,"=1",SmtRes!AD7:'SmtRes'!AD18)*Source!I30, 2)+ROUND(SUMIF(SmtRes!AQ7:'SmtRes'!AQ18,"=1",SmtRes!AC7:'SmtRes'!AC18)*Source!I30, 2))), 2)</f>
        <v>27.53</v>
      </c>
      <c r="AE81">
        <f>ROUND((Source!AU30/100)*((ROUND(SUMIF(SmtRes!AQ7:'SmtRes'!AQ18,"=1",SmtRes!AD7:'SmtRes'!AD18)*Source!I30, 2)+ROUND(SUMIF(SmtRes!AQ7:'SmtRes'!AQ18,"=1",SmtRes!AC7:'SmtRes'!AC18)*Source!I30, 2))), 2)</f>
        <v>14.47</v>
      </c>
      <c r="AN81" s="56">
        <f>M60+M62+M69+M79+M80+M63</f>
        <v>1303.24</v>
      </c>
      <c r="AO81" s="56">
        <f>M62</f>
        <v>96.149999999999991</v>
      </c>
      <c r="AQ81" t="s">
        <v>495</v>
      </c>
      <c r="AR81" s="56">
        <f>M60</f>
        <v>454.91</v>
      </c>
      <c r="AT81" s="56">
        <f>M63</f>
        <v>31.82</v>
      </c>
      <c r="AV81" t="s">
        <v>495</v>
      </c>
      <c r="AW81" s="56">
        <f>M69</f>
        <v>0</v>
      </c>
      <c r="AZ81">
        <f>Source!X30</f>
        <v>472.13</v>
      </c>
      <c r="BA81">
        <f>Source!Y30</f>
        <v>248.23</v>
      </c>
      <c r="CD81">
        <v>2</v>
      </c>
    </row>
    <row r="82" spans="1:82" ht="42.75">
      <c r="A82" s="40" t="s">
        <v>41</v>
      </c>
      <c r="B82" s="42">
        <v>3</v>
      </c>
      <c r="C82" s="42" t="s">
        <v>499</v>
      </c>
      <c r="D82" s="42" t="str">
        <f>Source!G32</f>
        <v>Присоединение к зажимам жил проводов или кабелей сечением: до 16 мм2</v>
      </c>
      <c r="E82" s="43" t="str">
        <f>Source!H32</f>
        <v>100 ШТ</v>
      </c>
      <c r="F82" s="47">
        <f>Source!K32</f>
        <v>7.48</v>
      </c>
      <c r="G82" s="41"/>
      <c r="H82" s="47">
        <f>Source!I32</f>
        <v>7.48</v>
      </c>
      <c r="I82" s="48"/>
      <c r="J82" s="46"/>
      <c r="K82" s="48"/>
      <c r="L82" s="42"/>
      <c r="M82" s="48"/>
    </row>
    <row r="83" spans="1:82">
      <c r="D83" s="60" t="str">
        <f>"Объем: "&amp;Source!I32&amp;"=748/"&amp;"100"</f>
        <v>Объем: 7,48=748/100</v>
      </c>
    </row>
    <row r="84" spans="1:82" ht="15">
      <c r="A84" s="41"/>
      <c r="B84" s="41"/>
      <c r="C84" s="45">
        <v>1</v>
      </c>
      <c r="D84" s="41" t="s">
        <v>483</v>
      </c>
      <c r="E84" s="43" t="s">
        <v>321</v>
      </c>
      <c r="F84" s="47"/>
      <c r="G84" s="45"/>
      <c r="H84" s="47">
        <f>Source!U32</f>
        <v>90.956800000000001</v>
      </c>
      <c r="I84" s="45"/>
      <c r="J84" s="45"/>
      <c r="K84" s="45"/>
      <c r="L84" s="45"/>
      <c r="M84" s="49">
        <f>SUM(M85:M85)-SUMIF(CE85:CE85, 1, M85:M85)</f>
        <v>26952.32</v>
      </c>
    </row>
    <row r="85" spans="1:82" ht="28.5">
      <c r="A85" s="42"/>
      <c r="B85" s="42"/>
      <c r="C85" s="42" t="s">
        <v>361</v>
      </c>
      <c r="D85" s="50" t="s">
        <v>362</v>
      </c>
      <c r="E85" s="51" t="s">
        <v>321</v>
      </c>
      <c r="F85" s="52">
        <v>12.16</v>
      </c>
      <c r="G85" s="53"/>
      <c r="H85" s="52">
        <f>SmtRes!CX19</f>
        <v>90.956800000000001</v>
      </c>
      <c r="I85" s="54"/>
      <c r="J85" s="55"/>
      <c r="K85" s="54">
        <f>SmtRes!CZ19</f>
        <v>296.32</v>
      </c>
      <c r="L85" s="50"/>
      <c r="M85" s="54">
        <f>SmtRes!DI19</f>
        <v>26952.32</v>
      </c>
    </row>
    <row r="86" spans="1:82" ht="15">
      <c r="A86" s="42"/>
      <c r="B86" s="42"/>
      <c r="C86" s="42"/>
      <c r="D86" s="58" t="s">
        <v>489</v>
      </c>
      <c r="E86" s="43"/>
      <c r="F86" s="47"/>
      <c r="G86" s="41"/>
      <c r="H86" s="47"/>
      <c r="I86" s="48"/>
      <c r="J86" s="46"/>
      <c r="K86" s="48"/>
      <c r="L86" s="42"/>
      <c r="M86" s="48">
        <f>M84</f>
        <v>26952.32</v>
      </c>
    </row>
    <row r="87" spans="1:82" ht="57">
      <c r="A87" s="40" t="s">
        <v>500</v>
      </c>
      <c r="B87" s="42" t="s">
        <v>46</v>
      </c>
      <c r="C87" s="42" t="str">
        <f>Source!F33</f>
        <v>421/пр_2020_п.75_пп.а</v>
      </c>
      <c r="D87" s="42" t="str">
        <f>Source!G33</f>
        <v>Сметная стоимость вспомогательных ненормируемых материальных ресурсов, не учтенная в сметной норме, 2%</v>
      </c>
      <c r="E87" s="43" t="str">
        <f>Source!H33</f>
        <v>%</v>
      </c>
      <c r="F87" s="47">
        <f>SmtRes!AT20</f>
        <v>2</v>
      </c>
      <c r="G87" s="41"/>
      <c r="H87" s="47">
        <f>Source!I33</f>
        <v>2</v>
      </c>
      <c r="I87" s="48"/>
      <c r="J87" s="46"/>
      <c r="K87" s="48"/>
      <c r="L87" s="42"/>
      <c r="M87" s="48">
        <f>Source!P33</f>
        <v>539.04999999999995</v>
      </c>
      <c r="AD87">
        <f>ROUND((Source!AT33/100)*((ROUND(0*Source!I33, 2)+ROUND(0*Source!I33, 2))), 2)</f>
        <v>0</v>
      </c>
      <c r="AE87">
        <f>ROUND((Source!AU33/100)*((ROUND(0*Source!I33, 2)+ROUND(0*Source!I33, 2))), 2)</f>
        <v>0</v>
      </c>
      <c r="AN87">
        <f>M87</f>
        <v>539.04999999999995</v>
      </c>
      <c r="AW87">
        <f>M87</f>
        <v>539.04999999999995</v>
      </c>
      <c r="AZ87">
        <f>Source!X33</f>
        <v>0</v>
      </c>
      <c r="BA87">
        <f>Source!Y33</f>
        <v>0</v>
      </c>
      <c r="CD87">
        <v>4</v>
      </c>
    </row>
    <row r="88" spans="1:82" ht="14.25">
      <c r="A88" s="42"/>
      <c r="B88" s="42"/>
      <c r="C88" s="42"/>
      <c r="D88" s="42" t="s">
        <v>491</v>
      </c>
      <c r="E88" s="43"/>
      <c r="F88" s="47"/>
      <c r="G88" s="41"/>
      <c r="H88" s="47"/>
      <c r="I88" s="48"/>
      <c r="J88" s="46"/>
      <c r="K88" s="48"/>
      <c r="L88" s="42"/>
      <c r="M88" s="48">
        <f>SUM(AR82:AR91)+SUM(AS82:AS91)+SUM(AT82:AT91)+SUM(AU82:AU91)+SUM(AV82:AV91)</f>
        <v>26952.32</v>
      </c>
    </row>
    <row r="89" spans="1:82" ht="28.5">
      <c r="A89" s="42"/>
      <c r="B89" s="42"/>
      <c r="C89" s="42" t="s">
        <v>25</v>
      </c>
      <c r="D89" s="42" t="s">
        <v>492</v>
      </c>
      <c r="E89" s="43" t="s">
        <v>30</v>
      </c>
      <c r="F89" s="47">
        <f>Source!BZ32</f>
        <v>97</v>
      </c>
      <c r="G89" s="41"/>
      <c r="H89" s="47">
        <f>Source!AT32</f>
        <v>97</v>
      </c>
      <c r="I89" s="48"/>
      <c r="J89" s="46"/>
      <c r="K89" s="48"/>
      <c r="L89" s="42"/>
      <c r="M89" s="48">
        <f>SUM(AZ82:AZ91)</f>
        <v>26143.75</v>
      </c>
    </row>
    <row r="90" spans="1:82" ht="28.5">
      <c r="A90" s="50"/>
      <c r="B90" s="50"/>
      <c r="C90" s="50" t="s">
        <v>26</v>
      </c>
      <c r="D90" s="50" t="s">
        <v>493</v>
      </c>
      <c r="E90" s="51" t="s">
        <v>30</v>
      </c>
      <c r="F90" s="52">
        <f>Source!CA32</f>
        <v>51</v>
      </c>
      <c r="G90" s="53"/>
      <c r="H90" s="52">
        <f>Source!AU32</f>
        <v>51</v>
      </c>
      <c r="I90" s="54"/>
      <c r="J90" s="55"/>
      <c r="K90" s="54"/>
      <c r="L90" s="50"/>
      <c r="M90" s="54">
        <f>SUM(BA82:BA91)</f>
        <v>13745.68</v>
      </c>
    </row>
    <row r="91" spans="1:82" ht="15">
      <c r="D91" s="111" t="s">
        <v>494</v>
      </c>
      <c r="E91" s="111"/>
      <c r="F91" s="111"/>
      <c r="G91" s="111"/>
      <c r="H91" s="111"/>
      <c r="I91" s="111"/>
      <c r="J91" s="112">
        <f>L91/F82</f>
        <v>9008.1283422459892</v>
      </c>
      <c r="K91" s="112"/>
      <c r="L91" s="112">
        <f>M84+M89+M90+SUM(M87:M87)</f>
        <v>67380.800000000003</v>
      </c>
      <c r="M91" s="112"/>
      <c r="AD91">
        <f>ROUND((Source!AT32/100)*((ROUND(SUMIF(SmtRes!AQ19:'SmtRes'!AQ20,"=1",SmtRes!AD19:'SmtRes'!AD20)*Source!I32, 2)+ROUND(SUMIF(SmtRes!AQ19:'SmtRes'!AQ20,"=1",SmtRes!AC19:'SmtRes'!AC20)*Source!I32, 2))), 2)</f>
        <v>2149.98</v>
      </c>
      <c r="AE91">
        <f>ROUND((Source!AU32/100)*((ROUND(SUMIF(SmtRes!AQ19:'SmtRes'!AQ20,"=1",SmtRes!AD19:'SmtRes'!AD20)*Source!I32, 2)+ROUND(SUMIF(SmtRes!AQ19:'SmtRes'!AQ20,"=1",SmtRes!AC19:'SmtRes'!AC20)*Source!I32, 2))), 2)</f>
        <v>1130.4000000000001</v>
      </c>
      <c r="AN91" s="56">
        <f>M84+M89+M90</f>
        <v>66841.75</v>
      </c>
      <c r="AO91">
        <f>0</f>
        <v>0</v>
      </c>
      <c r="AQ91" t="s">
        <v>495</v>
      </c>
      <c r="AR91" s="56">
        <f>M84</f>
        <v>26952.32</v>
      </c>
      <c r="AT91">
        <f>0</f>
        <v>0</v>
      </c>
      <c r="AV91" t="s">
        <v>495</v>
      </c>
      <c r="AW91">
        <f>0</f>
        <v>0</v>
      </c>
      <c r="AZ91">
        <f>Source!X32</f>
        <v>26143.75</v>
      </c>
      <c r="BA91">
        <f>Source!Y32</f>
        <v>13745.68</v>
      </c>
      <c r="CD91">
        <v>2</v>
      </c>
    </row>
    <row r="93" spans="1:82" ht="15">
      <c r="A93" s="62"/>
      <c r="B93" s="62"/>
      <c r="C93" s="63"/>
      <c r="D93" s="129" t="s">
        <v>501</v>
      </c>
      <c r="E93" s="129"/>
      <c r="F93" s="129"/>
      <c r="G93" s="129"/>
      <c r="H93" s="129"/>
      <c r="I93" s="129"/>
      <c r="J93" s="49"/>
      <c r="K93" s="62"/>
      <c r="L93" s="64"/>
      <c r="M93" s="49">
        <f>M95+M96+M102+M106</f>
        <v>50653.74</v>
      </c>
    </row>
    <row r="94" spans="1:82" ht="14.25">
      <c r="A94" s="59"/>
      <c r="B94" s="59"/>
      <c r="C94" s="61"/>
      <c r="D94" s="128" t="s">
        <v>502</v>
      </c>
      <c r="E94" s="127"/>
      <c r="F94" s="127"/>
      <c r="G94" s="127"/>
      <c r="H94" s="127"/>
      <c r="I94" s="127"/>
      <c r="J94" s="48"/>
      <c r="K94" s="59"/>
      <c r="L94" s="45"/>
      <c r="M94" s="48"/>
    </row>
    <row r="95" spans="1:82" ht="14.25">
      <c r="A95" s="59"/>
      <c r="B95" s="59"/>
      <c r="C95" s="61"/>
      <c r="D95" s="127" t="s">
        <v>503</v>
      </c>
      <c r="E95" s="127"/>
      <c r="F95" s="127"/>
      <c r="G95" s="127"/>
      <c r="H95" s="127"/>
      <c r="I95" s="127"/>
      <c r="J95" s="48"/>
      <c r="K95" s="59"/>
      <c r="L95" s="45"/>
      <c r="M95" s="48">
        <f>SUM(AR41:AR91)</f>
        <v>43751.93</v>
      </c>
    </row>
    <row r="96" spans="1:82" ht="14.25" hidden="1">
      <c r="A96" s="59"/>
      <c r="B96" s="59"/>
      <c r="C96" s="61"/>
      <c r="D96" s="127" t="s">
        <v>504</v>
      </c>
      <c r="E96" s="127"/>
      <c r="F96" s="127"/>
      <c r="G96" s="127"/>
      <c r="H96" s="127"/>
      <c r="I96" s="127"/>
      <c r="J96" s="48"/>
      <c r="K96" s="59"/>
      <c r="L96" s="45"/>
      <c r="M96" s="48">
        <f>M98+M101+M100</f>
        <v>5197.66</v>
      </c>
    </row>
    <row r="97" spans="1:13" ht="14.25" hidden="1">
      <c r="A97" s="59"/>
      <c r="B97" s="59"/>
      <c r="C97" s="61"/>
      <c r="D97" s="128" t="s">
        <v>505</v>
      </c>
      <c r="E97" s="127"/>
      <c r="F97" s="127"/>
      <c r="G97" s="127"/>
      <c r="H97" s="127"/>
      <c r="I97" s="127"/>
      <c r="J97" s="48"/>
      <c r="K97" s="59"/>
      <c r="L97" s="45"/>
      <c r="M97" s="48"/>
    </row>
    <row r="98" spans="1:13" ht="14.25">
      <c r="A98" s="59"/>
      <c r="B98" s="59"/>
      <c r="C98" s="61"/>
      <c r="D98" s="127" t="s">
        <v>504</v>
      </c>
      <c r="E98" s="127"/>
      <c r="F98" s="127"/>
      <c r="G98" s="127"/>
      <c r="H98" s="127"/>
      <c r="I98" s="127"/>
      <c r="J98" s="48"/>
      <c r="K98" s="59"/>
      <c r="L98" s="45"/>
      <c r="M98" s="48">
        <f>SUM(AO41:AO91)</f>
        <v>3837.6299999999997</v>
      </c>
    </row>
    <row r="99" spans="1:13" ht="14.25" hidden="1">
      <c r="A99" s="59"/>
      <c r="B99" s="59"/>
      <c r="C99" s="61"/>
      <c r="D99" s="128" t="s">
        <v>506</v>
      </c>
      <c r="E99" s="127"/>
      <c r="F99" s="127"/>
      <c r="G99" s="127"/>
      <c r="H99" s="127"/>
      <c r="I99" s="127"/>
      <c r="J99" s="48"/>
      <c r="K99" s="59"/>
      <c r="L99" s="45"/>
      <c r="M99" s="48"/>
    </row>
    <row r="100" spans="1:13" ht="14.25">
      <c r="A100" s="59"/>
      <c r="B100" s="59"/>
      <c r="C100" s="61"/>
      <c r="D100" s="127" t="s">
        <v>526</v>
      </c>
      <c r="E100" s="127"/>
      <c r="F100" s="127"/>
      <c r="G100" s="127"/>
      <c r="H100" s="127"/>
      <c r="I100" s="127"/>
      <c r="J100" s="48"/>
      <c r="K100" s="59"/>
      <c r="L100" s="45"/>
      <c r="M100" s="48">
        <f>SUM(AT41:AT91)</f>
        <v>1360.03</v>
      </c>
    </row>
    <row r="101" spans="1:13" ht="14.25" hidden="1">
      <c r="A101" s="59"/>
      <c r="B101" s="59"/>
      <c r="C101" s="61"/>
      <c r="D101" s="127" t="s">
        <v>507</v>
      </c>
      <c r="E101" s="127"/>
      <c r="F101" s="127"/>
      <c r="G101" s="127"/>
      <c r="H101" s="127"/>
      <c r="I101" s="127"/>
      <c r="J101" s="48"/>
      <c r="K101" s="59"/>
      <c r="L101" s="45"/>
      <c r="M101" s="48">
        <f>SUM(AV41:AV91)</f>
        <v>0</v>
      </c>
    </row>
    <row r="102" spans="1:13" ht="14.25">
      <c r="A102" s="59"/>
      <c r="B102" s="59"/>
      <c r="C102" s="61"/>
      <c r="D102" s="127" t="s">
        <v>508</v>
      </c>
      <c r="E102" s="127"/>
      <c r="F102" s="127"/>
      <c r="G102" s="127"/>
      <c r="H102" s="127"/>
      <c r="I102" s="127"/>
      <c r="J102" s="48"/>
      <c r="K102" s="59"/>
      <c r="L102" s="45"/>
      <c r="M102" s="48">
        <f>M104+M105</f>
        <v>1704.1499999999999</v>
      </c>
    </row>
    <row r="103" spans="1:13" ht="14.25">
      <c r="A103" s="59"/>
      <c r="B103" s="59"/>
      <c r="C103" s="61"/>
      <c r="D103" s="128" t="s">
        <v>505</v>
      </c>
      <c r="E103" s="127"/>
      <c r="F103" s="127"/>
      <c r="G103" s="127"/>
      <c r="H103" s="127"/>
      <c r="I103" s="127"/>
      <c r="J103" s="48"/>
      <c r="K103" s="59"/>
      <c r="L103" s="45"/>
      <c r="M103" s="48"/>
    </row>
    <row r="104" spans="1:13" ht="14.25">
      <c r="A104" s="59"/>
      <c r="B104" s="59"/>
      <c r="C104" s="61"/>
      <c r="D104" s="127" t="s">
        <v>509</v>
      </c>
      <c r="E104" s="127"/>
      <c r="F104" s="127"/>
      <c r="G104" s="127"/>
      <c r="H104" s="127"/>
      <c r="I104" s="127"/>
      <c r="J104" s="48"/>
      <c r="K104" s="59"/>
      <c r="L104" s="45"/>
      <c r="M104" s="48">
        <f>SUM(AW41:AW91)-SUM(BK41:BK91)</f>
        <v>1704.1499999999999</v>
      </c>
    </row>
    <row r="105" spans="1:13" ht="14.25" hidden="1">
      <c r="A105" s="59"/>
      <c r="B105" s="59"/>
      <c r="C105" s="61"/>
      <c r="D105" s="127" t="s">
        <v>510</v>
      </c>
      <c r="E105" s="127"/>
      <c r="F105" s="127"/>
      <c r="G105" s="127"/>
      <c r="H105" s="127"/>
      <c r="I105" s="127"/>
      <c r="J105" s="48"/>
      <c r="K105" s="59"/>
      <c r="L105" s="45"/>
      <c r="M105" s="48">
        <f>SUM(BC41:BC91)</f>
        <v>0</v>
      </c>
    </row>
    <row r="106" spans="1:13" ht="14.25" hidden="1">
      <c r="A106" s="59"/>
      <c r="B106" s="59"/>
      <c r="C106" s="61"/>
      <c r="D106" s="127" t="s">
        <v>511</v>
      </c>
      <c r="E106" s="127"/>
      <c r="F106" s="127"/>
      <c r="G106" s="127"/>
      <c r="H106" s="127"/>
      <c r="I106" s="127"/>
      <c r="J106" s="48"/>
      <c r="K106" s="59"/>
      <c r="L106" s="45"/>
      <c r="M106" s="48">
        <f>SUM(BB41:BB91)</f>
        <v>0</v>
      </c>
    </row>
    <row r="107" spans="1:13" ht="14.25">
      <c r="A107" s="59"/>
      <c r="B107" s="59"/>
      <c r="C107" s="61"/>
      <c r="D107" s="127" t="s">
        <v>512</v>
      </c>
      <c r="E107" s="127"/>
      <c r="F107" s="127"/>
      <c r="G107" s="127"/>
      <c r="H107" s="127"/>
      <c r="I107" s="127"/>
      <c r="J107" s="48"/>
      <c r="K107" s="59"/>
      <c r="L107" s="45"/>
      <c r="M107" s="48">
        <f>SUM(AR41:AR91)+SUM(AT41:AT91)+SUM(AV41:AV91)</f>
        <v>45111.96</v>
      </c>
    </row>
    <row r="108" spans="1:13" ht="14.25">
      <c r="A108" s="59"/>
      <c r="B108" s="59"/>
      <c r="C108" s="61"/>
      <c r="D108" s="127" t="s">
        <v>513</v>
      </c>
      <c r="E108" s="127"/>
      <c r="F108" s="127"/>
      <c r="G108" s="127"/>
      <c r="H108" s="127"/>
      <c r="I108" s="127"/>
      <c r="J108" s="48"/>
      <c r="K108" s="59"/>
      <c r="L108" s="45"/>
      <c r="M108" s="48">
        <f>SUM(AZ41:AZ91)</f>
        <v>43758.600000000006</v>
      </c>
    </row>
    <row r="109" spans="1:13" ht="14.25">
      <c r="A109" s="59"/>
      <c r="B109" s="59"/>
      <c r="C109" s="61"/>
      <c r="D109" s="127" t="s">
        <v>514</v>
      </c>
      <c r="E109" s="127"/>
      <c r="F109" s="127"/>
      <c r="G109" s="127"/>
      <c r="H109" s="127"/>
      <c r="I109" s="127"/>
      <c r="J109" s="48"/>
      <c r="K109" s="59"/>
      <c r="L109" s="45"/>
      <c r="M109" s="48">
        <f>SUM(BA41:BA91)</f>
        <v>23007.09</v>
      </c>
    </row>
    <row r="110" spans="1:13" ht="14.25" hidden="1">
      <c r="A110" s="59"/>
      <c r="B110" s="59"/>
      <c r="C110" s="61"/>
      <c r="D110" s="127" t="s">
        <v>515</v>
      </c>
      <c r="E110" s="127"/>
      <c r="F110" s="127"/>
      <c r="G110" s="127"/>
      <c r="H110" s="127"/>
      <c r="I110" s="127"/>
      <c r="J110" s="48"/>
      <c r="K110" s="59"/>
      <c r="L110" s="45"/>
      <c r="M110" s="48">
        <f>M112+M113</f>
        <v>0</v>
      </c>
    </row>
    <row r="111" spans="1:13" ht="14.25" hidden="1">
      <c r="A111" s="59"/>
      <c r="B111" s="59"/>
      <c r="C111" s="61"/>
      <c r="D111" s="128" t="s">
        <v>502</v>
      </c>
      <c r="E111" s="127"/>
      <c r="F111" s="127"/>
      <c r="G111" s="127"/>
      <c r="H111" s="127"/>
      <c r="I111" s="127"/>
      <c r="J111" s="48"/>
      <c r="K111" s="59"/>
      <c r="L111" s="45"/>
      <c r="M111" s="48"/>
    </row>
    <row r="112" spans="1:13" ht="14.25" hidden="1">
      <c r="A112" s="59"/>
      <c r="B112" s="59"/>
      <c r="C112" s="61"/>
      <c r="D112" s="127" t="s">
        <v>516</v>
      </c>
      <c r="E112" s="127"/>
      <c r="F112" s="127"/>
      <c r="G112" s="127"/>
      <c r="H112" s="127"/>
      <c r="I112" s="127"/>
      <c r="J112" s="48"/>
      <c r="K112" s="59"/>
      <c r="L112" s="45"/>
      <c r="M112" s="48">
        <f>SUM(BK41:BK91)</f>
        <v>0</v>
      </c>
    </row>
    <row r="113" spans="1:82" ht="14.25" hidden="1">
      <c r="A113" s="59"/>
      <c r="B113" s="59"/>
      <c r="C113" s="61"/>
      <c r="D113" s="127" t="s">
        <v>517</v>
      </c>
      <c r="E113" s="127"/>
      <c r="F113" s="127"/>
      <c r="G113" s="127"/>
      <c r="H113" s="127"/>
      <c r="I113" s="127"/>
      <c r="J113" s="48"/>
      <c r="K113" s="59"/>
      <c r="L113" s="45"/>
      <c r="M113" s="48">
        <f>SUM(BD41:BD91)</f>
        <v>0</v>
      </c>
    </row>
    <row r="114" spans="1:82" ht="14.25" hidden="1">
      <c r="A114" s="59"/>
      <c r="B114" s="59"/>
      <c r="C114" s="61"/>
      <c r="D114" s="127" t="s">
        <v>518</v>
      </c>
      <c r="E114" s="127"/>
      <c r="F114" s="127"/>
      <c r="G114" s="127"/>
      <c r="H114" s="127"/>
      <c r="I114" s="127"/>
      <c r="J114" s="48"/>
      <c r="K114" s="59"/>
      <c r="L114" s="45"/>
      <c r="M114" s="48"/>
    </row>
    <row r="115" spans="1:82" ht="14.25" hidden="1">
      <c r="A115" s="59"/>
      <c r="B115" s="59"/>
      <c r="C115" s="61"/>
      <c r="D115" s="127" t="s">
        <v>519</v>
      </c>
      <c r="E115" s="127"/>
      <c r="F115" s="127"/>
      <c r="G115" s="127"/>
      <c r="H115" s="127"/>
      <c r="I115" s="127"/>
      <c r="J115" s="48"/>
      <c r="K115" s="59"/>
      <c r="L115" s="45"/>
      <c r="M115" s="48">
        <f>SUM(BO41:BO91)</f>
        <v>0</v>
      </c>
    </row>
    <row r="116" spans="1:82" ht="15">
      <c r="A116" s="62"/>
      <c r="B116" s="62"/>
      <c r="C116" s="63"/>
      <c r="D116" s="129" t="s">
        <v>520</v>
      </c>
      <c r="E116" s="129"/>
      <c r="F116" s="129"/>
      <c r="G116" s="129"/>
      <c r="H116" s="129"/>
      <c r="I116" s="129"/>
      <c r="J116" s="49"/>
      <c r="K116" s="62"/>
      <c r="L116" s="64"/>
      <c r="M116" s="49">
        <f>M93+M108+M109+M110+M114+M115</f>
        <v>117419.43</v>
      </c>
    </row>
    <row r="117" spans="1:82" ht="14.25">
      <c r="A117" s="59"/>
      <c r="B117" s="59"/>
      <c r="C117" s="61"/>
      <c r="D117" s="128" t="s">
        <v>521</v>
      </c>
      <c r="E117" s="127"/>
      <c r="F117" s="127"/>
      <c r="G117" s="127"/>
      <c r="H117" s="127"/>
      <c r="I117" s="127"/>
      <c r="J117" s="48"/>
      <c r="K117" s="59"/>
      <c r="L117" s="45"/>
      <c r="M117" s="48"/>
    </row>
    <row r="118" spans="1:82" ht="14.25" hidden="1">
      <c r="A118" s="59"/>
      <c r="B118" s="59"/>
      <c r="C118" s="61"/>
      <c r="D118" s="127" t="s">
        <v>522</v>
      </c>
      <c r="E118" s="127"/>
      <c r="F118" s="127"/>
      <c r="G118" s="127"/>
      <c r="H118" s="127"/>
      <c r="I118" s="127"/>
      <c r="J118" s="48"/>
      <c r="K118" s="59"/>
      <c r="L118" s="45"/>
      <c r="M118" s="48">
        <f>SUM(AX41:AX91)</f>
        <v>0</v>
      </c>
    </row>
    <row r="119" spans="1:82" ht="14.25" hidden="1">
      <c r="A119" s="59"/>
      <c r="B119" s="59"/>
      <c r="C119" s="61"/>
      <c r="D119" s="127" t="s">
        <v>523</v>
      </c>
      <c r="E119" s="127"/>
      <c r="F119" s="127"/>
      <c r="G119" s="127"/>
      <c r="H119" s="127"/>
      <c r="I119" s="127"/>
      <c r="J119" s="48"/>
      <c r="K119" s="59"/>
      <c r="L119" s="45"/>
      <c r="M119" s="48">
        <f>SUM(AY41:AY91)</f>
        <v>0</v>
      </c>
    </row>
    <row r="120" spans="1:82" ht="14.25">
      <c r="A120" s="59"/>
      <c r="B120" s="59"/>
      <c r="C120" s="61"/>
      <c r="D120" s="127" t="s">
        <v>524</v>
      </c>
      <c r="E120" s="127"/>
      <c r="F120" s="127"/>
      <c r="G120" s="130"/>
      <c r="H120" s="47">
        <f>Source!F57</f>
        <v>144.8176</v>
      </c>
      <c r="I120" s="59"/>
      <c r="J120" s="59"/>
      <c r="K120" s="59"/>
      <c r="L120" s="59"/>
      <c r="M120" s="59"/>
    </row>
    <row r="121" spans="1:82" ht="14.25">
      <c r="A121" s="59"/>
      <c r="B121" s="59"/>
      <c r="C121" s="61"/>
      <c r="D121" s="127" t="s">
        <v>525</v>
      </c>
      <c r="E121" s="127"/>
      <c r="F121" s="127"/>
      <c r="G121" s="130"/>
      <c r="H121" s="47">
        <f>Source!F58</f>
        <v>4.1955600000000004</v>
      </c>
      <c r="I121" s="59"/>
      <c r="J121" s="59"/>
      <c r="K121" s="59"/>
      <c r="L121" s="59"/>
      <c r="M121" s="59"/>
    </row>
    <row r="123" spans="1:82" ht="14.25">
      <c r="D123" s="131" t="str">
        <f>Source!H74</f>
        <v>НДС 20%</v>
      </c>
      <c r="E123" s="131"/>
      <c r="F123" s="131"/>
      <c r="G123" s="131"/>
      <c r="H123" s="131"/>
      <c r="I123" s="131"/>
      <c r="J123" s="131"/>
      <c r="K123" s="131"/>
      <c r="L123" s="131"/>
      <c r="M123" s="57">
        <f>IF(Source!Y74=0, "", Source!Y74)</f>
        <v>23483.89</v>
      </c>
    </row>
    <row r="124" spans="1:82" ht="14.25">
      <c r="D124" s="131" t="str">
        <f>Source!H75</f>
        <v>ИТОГО с НДС</v>
      </c>
      <c r="E124" s="131"/>
      <c r="F124" s="131"/>
      <c r="G124" s="131"/>
      <c r="H124" s="131"/>
      <c r="I124" s="131"/>
      <c r="J124" s="131"/>
      <c r="K124" s="131"/>
      <c r="L124" s="131"/>
      <c r="M124" s="57">
        <f>IF(Source!Y75=0, "", Source!Y75)</f>
        <v>140903.32</v>
      </c>
    </row>
    <row r="126" spans="1:82" ht="16.5">
      <c r="A126" s="110" t="s">
        <v>527</v>
      </c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</row>
    <row r="127" spans="1:82" ht="14.25">
      <c r="A127" s="65" t="s">
        <v>126</v>
      </c>
      <c r="B127" s="50">
        <v>4</v>
      </c>
      <c r="C127" s="50" t="str">
        <f>Source!F81</f>
        <v>цена поставщика</v>
      </c>
      <c r="D127" s="50" t="str">
        <f>Source!G81</f>
        <v>Счетчик электрический</v>
      </c>
      <c r="E127" s="51" t="str">
        <f>Source!H81</f>
        <v>ШТ</v>
      </c>
      <c r="F127" s="52">
        <f>Source!K81</f>
        <v>187</v>
      </c>
      <c r="G127" s="53"/>
      <c r="H127" s="52">
        <f>Source!I81</f>
        <v>187</v>
      </c>
      <c r="I127" s="54">
        <f>Source!AL81</f>
        <v>12085</v>
      </c>
      <c r="J127" s="55"/>
      <c r="K127" s="54"/>
      <c r="L127" s="50"/>
      <c r="M127" s="54">
        <f>Source!P81</f>
        <v>2259895</v>
      </c>
    </row>
    <row r="128" spans="1:82" ht="15">
      <c r="D128" s="111" t="s">
        <v>494</v>
      </c>
      <c r="E128" s="111"/>
      <c r="F128" s="111"/>
      <c r="G128" s="111"/>
      <c r="H128" s="111"/>
      <c r="I128" s="111"/>
      <c r="J128" s="112">
        <f>L128/F127</f>
        <v>12085</v>
      </c>
      <c r="K128" s="112"/>
      <c r="L128" s="112">
        <f>M127</f>
        <v>2259895</v>
      </c>
      <c r="M128" s="112"/>
      <c r="AD128">
        <f>ROUND((Source!AT81/100)*((ROUND(ROUND(Source!AO81,2)*Source!I81, 2)+ROUND(ROUND(Source!AN81,2)*Source!I81, 2))), 2)</f>
        <v>0</v>
      </c>
      <c r="AE128">
        <f>ROUND((Source!AU81/100)*((ROUND(ROUND(Source!AO81,2)*Source!I81, 2)+ROUND(ROUND(Source!AN81,2)*Source!I81, 2))), 2)</f>
        <v>0</v>
      </c>
      <c r="AN128" s="56">
        <f>M127</f>
        <v>2259895</v>
      </c>
      <c r="AO128">
        <f>0</f>
        <v>0</v>
      </c>
      <c r="AQ128" t="s">
        <v>495</v>
      </c>
      <c r="AR128">
        <f>0</f>
        <v>0</v>
      </c>
      <c r="AT128">
        <f>0</f>
        <v>0</v>
      </c>
      <c r="AV128" t="s">
        <v>495</v>
      </c>
      <c r="AW128" s="56">
        <f>M127</f>
        <v>2259895</v>
      </c>
      <c r="AZ128">
        <f>Source!X81</f>
        <v>0</v>
      </c>
      <c r="BA128">
        <f>Source!Y81</f>
        <v>0</v>
      </c>
      <c r="CD128">
        <v>1</v>
      </c>
    </row>
    <row r="129" spans="1:82" ht="57">
      <c r="A129" s="65" t="s">
        <v>133</v>
      </c>
      <c r="B129" s="50">
        <v>5</v>
      </c>
      <c r="C129" s="50" t="str">
        <f>Source!F82</f>
        <v>цена поставщика</v>
      </c>
      <c r="D129" s="50" t="str">
        <f>Source!G82</f>
        <v>Провода самонесущие изолированные для воздушных линий электропередачи с алюминиевыми жилами марки:СИП-4 2х16-0,6/1,0</v>
      </c>
      <c r="E129" s="51" t="str">
        <f>Source!H82</f>
        <v>м</v>
      </c>
      <c r="F129" s="52">
        <f>Source!K82</f>
        <v>748</v>
      </c>
      <c r="G129" s="53"/>
      <c r="H129" s="52">
        <f>Source!I82</f>
        <v>748</v>
      </c>
      <c r="I129" s="54">
        <f>Source!AL82</f>
        <v>36.67</v>
      </c>
      <c r="J129" s="55"/>
      <c r="K129" s="54"/>
      <c r="L129" s="50"/>
      <c r="M129" s="54">
        <f>Source!P82</f>
        <v>27429.16</v>
      </c>
    </row>
    <row r="130" spans="1:82" ht="15">
      <c r="D130" s="111" t="s">
        <v>494</v>
      </c>
      <c r="E130" s="111"/>
      <c r="F130" s="111"/>
      <c r="G130" s="111"/>
      <c r="H130" s="111"/>
      <c r="I130" s="111"/>
      <c r="J130" s="112">
        <f>L130/F129</f>
        <v>36.67</v>
      </c>
      <c r="K130" s="112"/>
      <c r="L130" s="112">
        <f>M129</f>
        <v>27429.16</v>
      </c>
      <c r="M130" s="112"/>
      <c r="AD130">
        <f>ROUND((Source!AT82/100)*((ROUND(ROUND(Source!AO82,2)*Source!I82, 2)+ROUND(ROUND(Source!AN82,2)*Source!I82, 2))), 2)</f>
        <v>0</v>
      </c>
      <c r="AE130">
        <f>ROUND((Source!AU82/100)*((ROUND(ROUND(Source!AO82,2)*Source!I82, 2)+ROUND(ROUND(Source!AN82,2)*Source!I82, 2))), 2)</f>
        <v>0</v>
      </c>
      <c r="AN130" s="56">
        <f>M129</f>
        <v>27429.16</v>
      </c>
      <c r="AO130">
        <f>0</f>
        <v>0</v>
      </c>
      <c r="AQ130" t="s">
        <v>495</v>
      </c>
      <c r="AR130">
        <f>0</f>
        <v>0</v>
      </c>
      <c r="AT130">
        <f>0</f>
        <v>0</v>
      </c>
      <c r="AV130" t="s">
        <v>495</v>
      </c>
      <c r="AW130" s="56">
        <f>M129</f>
        <v>27429.16</v>
      </c>
      <c r="AZ130">
        <f>Source!X82</f>
        <v>0</v>
      </c>
      <c r="BA130">
        <f>Source!Y82</f>
        <v>0</v>
      </c>
      <c r="CD130">
        <v>1</v>
      </c>
    </row>
    <row r="131" spans="1:82" ht="71.25">
      <c r="A131" s="65" t="s">
        <v>136</v>
      </c>
      <c r="B131" s="50">
        <v>6</v>
      </c>
      <c r="C131" s="50" t="str">
        <f>Source!F83</f>
        <v>цена поставщика</v>
      </c>
      <c r="D131" s="50" t="str">
        <f>Source!G83</f>
        <v>Лента крепления шириной 20 мм, толщиной 0,7 мм, длиной 50 м из нержавеющей стали (в пластмасовой коробке с кабельной бухтой) F207 (СИП)</v>
      </c>
      <c r="E131" s="51" t="str">
        <f>Source!H83</f>
        <v>ШТ</v>
      </c>
      <c r="F131" s="52">
        <f>Source!K83</f>
        <v>7.5</v>
      </c>
      <c r="G131" s="53"/>
      <c r="H131" s="52">
        <f>Source!I83</f>
        <v>7.5</v>
      </c>
      <c r="I131" s="54">
        <f>Source!AL83</f>
        <v>2416.67</v>
      </c>
      <c r="J131" s="55"/>
      <c r="K131" s="54"/>
      <c r="L131" s="50"/>
      <c r="M131" s="54">
        <f>Source!P83</f>
        <v>18125.03</v>
      </c>
    </row>
    <row r="132" spans="1:82" ht="15">
      <c r="D132" s="111" t="s">
        <v>494</v>
      </c>
      <c r="E132" s="111"/>
      <c r="F132" s="111"/>
      <c r="G132" s="111"/>
      <c r="H132" s="111"/>
      <c r="I132" s="111"/>
      <c r="J132" s="112">
        <f>L132/F131</f>
        <v>2416.6706666666664</v>
      </c>
      <c r="K132" s="112"/>
      <c r="L132" s="112">
        <f>M131</f>
        <v>18125.03</v>
      </c>
      <c r="M132" s="112"/>
      <c r="AD132">
        <f>ROUND((Source!AT83/100)*((ROUND(ROUND(Source!AO83,2)*Source!I83, 2)+ROUND(ROUND(Source!AN83,2)*Source!I83, 2))), 2)</f>
        <v>0</v>
      </c>
      <c r="AE132">
        <f>ROUND((Source!AU83/100)*((ROUND(ROUND(Source!AO83,2)*Source!I83, 2)+ROUND(ROUND(Source!AN83,2)*Source!I83, 2))), 2)</f>
        <v>0</v>
      </c>
      <c r="AN132" s="56">
        <f>M131</f>
        <v>18125.03</v>
      </c>
      <c r="AO132">
        <f>0</f>
        <v>0</v>
      </c>
      <c r="AQ132" t="s">
        <v>495</v>
      </c>
      <c r="AR132">
        <f>0</f>
        <v>0</v>
      </c>
      <c r="AT132">
        <f>0</f>
        <v>0</v>
      </c>
      <c r="AV132" t="s">
        <v>495</v>
      </c>
      <c r="AW132" s="56">
        <f>M131</f>
        <v>18125.03</v>
      </c>
      <c r="AZ132">
        <f>Source!X83</f>
        <v>0</v>
      </c>
      <c r="BA132">
        <f>Source!Y83</f>
        <v>0</v>
      </c>
      <c r="CD132">
        <v>1</v>
      </c>
    </row>
    <row r="133" spans="1:82" ht="14.25">
      <c r="A133" s="65" t="s">
        <v>138</v>
      </c>
      <c r="B133" s="50">
        <v>7</v>
      </c>
      <c r="C133" s="50" t="str">
        <f>Source!F84</f>
        <v>цена поставщика</v>
      </c>
      <c r="D133" s="50" t="str">
        <f>Source!G84</f>
        <v>Скрепа размером 20 мм NC20 (СИП)</v>
      </c>
      <c r="E133" s="51" t="str">
        <f>Source!H84</f>
        <v>ШТ</v>
      </c>
      <c r="F133" s="52">
        <f>Source!K84</f>
        <v>374</v>
      </c>
      <c r="G133" s="53"/>
      <c r="H133" s="52">
        <f>Source!I84</f>
        <v>374</v>
      </c>
      <c r="I133" s="54">
        <f>Source!AL84</f>
        <v>10.83</v>
      </c>
      <c r="J133" s="55"/>
      <c r="K133" s="54"/>
      <c r="L133" s="50"/>
      <c r="M133" s="54">
        <f>Source!P84</f>
        <v>4050.42</v>
      </c>
    </row>
    <row r="134" spans="1:82" ht="15">
      <c r="D134" s="111" t="s">
        <v>494</v>
      </c>
      <c r="E134" s="111"/>
      <c r="F134" s="111"/>
      <c r="G134" s="111"/>
      <c r="H134" s="111"/>
      <c r="I134" s="111"/>
      <c r="J134" s="112">
        <f>L134/F133</f>
        <v>10.83</v>
      </c>
      <c r="K134" s="112"/>
      <c r="L134" s="112">
        <f>M133</f>
        <v>4050.42</v>
      </c>
      <c r="M134" s="112"/>
      <c r="AD134">
        <f>ROUND((Source!AT84/100)*((ROUND(ROUND(Source!AO84,2)*Source!I84, 2)+ROUND(ROUND(Source!AN84,2)*Source!I84, 2))), 2)</f>
        <v>0</v>
      </c>
      <c r="AE134">
        <f>ROUND((Source!AU84/100)*((ROUND(ROUND(Source!AO84,2)*Source!I84, 2)+ROUND(ROUND(Source!AN84,2)*Source!I84, 2))), 2)</f>
        <v>0</v>
      </c>
      <c r="AN134" s="56">
        <f>M133</f>
        <v>4050.42</v>
      </c>
      <c r="AO134">
        <f>0</f>
        <v>0</v>
      </c>
      <c r="AQ134" t="s">
        <v>495</v>
      </c>
      <c r="AR134">
        <f>0</f>
        <v>0</v>
      </c>
      <c r="AT134">
        <f>0</f>
        <v>0</v>
      </c>
      <c r="AV134" t="s">
        <v>495</v>
      </c>
      <c r="AW134" s="56">
        <f>M133</f>
        <v>4050.42</v>
      </c>
      <c r="AZ134">
        <f>Source!X84</f>
        <v>0</v>
      </c>
      <c r="BA134">
        <f>Source!Y84</f>
        <v>0</v>
      </c>
      <c r="CD134">
        <v>1</v>
      </c>
    </row>
    <row r="135" spans="1:82" ht="28.5">
      <c r="A135" s="65" t="s">
        <v>140</v>
      </c>
      <c r="B135" s="50">
        <v>8</v>
      </c>
      <c r="C135" s="50" t="str">
        <f>Source!F85</f>
        <v>цена поставщика</v>
      </c>
      <c r="D135" s="50" t="str">
        <f>Source!G85</f>
        <v>Зажим ответвительный с прокалыванием изоляции (СИП):P 645</v>
      </c>
      <c r="E135" s="51" t="str">
        <f>Source!H85</f>
        <v>ШТ</v>
      </c>
      <c r="F135" s="52">
        <f>Source!K85</f>
        <v>748</v>
      </c>
      <c r="G135" s="53"/>
      <c r="H135" s="52">
        <f>Source!I85</f>
        <v>748</v>
      </c>
      <c r="I135" s="54">
        <f>Source!AL85</f>
        <v>151.66999999999999</v>
      </c>
      <c r="J135" s="55"/>
      <c r="K135" s="54"/>
      <c r="L135" s="50"/>
      <c r="M135" s="54">
        <f>Source!P85</f>
        <v>113449.16</v>
      </c>
    </row>
    <row r="136" spans="1:82" ht="15">
      <c r="D136" s="111" t="s">
        <v>494</v>
      </c>
      <c r="E136" s="111"/>
      <c r="F136" s="111"/>
      <c r="G136" s="111"/>
      <c r="H136" s="111"/>
      <c r="I136" s="111"/>
      <c r="J136" s="112">
        <f>L136/F135</f>
        <v>151.67000000000002</v>
      </c>
      <c r="K136" s="112"/>
      <c r="L136" s="112">
        <f>M135</f>
        <v>113449.16</v>
      </c>
      <c r="M136" s="112"/>
      <c r="AD136">
        <f>ROUND((Source!AT85/100)*((ROUND(ROUND(Source!AO85,2)*Source!I85, 2)+ROUND(ROUND(Source!AN85,2)*Source!I85, 2))), 2)</f>
        <v>0</v>
      </c>
      <c r="AE136">
        <f>ROUND((Source!AU85/100)*((ROUND(ROUND(Source!AO85,2)*Source!I85, 2)+ROUND(ROUND(Source!AN85,2)*Source!I85, 2))), 2)</f>
        <v>0</v>
      </c>
      <c r="AN136" s="56">
        <f>M135</f>
        <v>113449.16</v>
      </c>
      <c r="AO136">
        <f>0</f>
        <v>0</v>
      </c>
      <c r="AQ136" t="s">
        <v>495</v>
      </c>
      <c r="AR136">
        <f>0</f>
        <v>0</v>
      </c>
      <c r="AT136">
        <f>0</f>
        <v>0</v>
      </c>
      <c r="AV136" t="s">
        <v>495</v>
      </c>
      <c r="AW136" s="56">
        <f>M135</f>
        <v>113449.16</v>
      </c>
      <c r="AZ136">
        <f>Source!X85</f>
        <v>0</v>
      </c>
      <c r="BA136">
        <f>Source!Y85</f>
        <v>0</v>
      </c>
      <c r="CD136">
        <v>1</v>
      </c>
    </row>
    <row r="137" spans="1:82" ht="28.5">
      <c r="A137" s="65" t="s">
        <v>142</v>
      </c>
      <c r="B137" s="50">
        <v>9</v>
      </c>
      <c r="C137" s="50" t="str">
        <f>Source!F86</f>
        <v>цена поставщика</v>
      </c>
      <c r="D137" s="50" t="str">
        <f>Source!G86</f>
        <v>Кронштейн для счетчика электрической энергии типа AD11S</v>
      </c>
      <c r="E137" s="51" t="str">
        <f>Source!H86</f>
        <v>ШТ</v>
      </c>
      <c r="F137" s="52">
        <f>Source!K86</f>
        <v>187</v>
      </c>
      <c r="G137" s="53"/>
      <c r="H137" s="52">
        <f>Source!I86</f>
        <v>187</v>
      </c>
      <c r="I137" s="54">
        <f>Source!AL86</f>
        <v>109.17</v>
      </c>
      <c r="J137" s="55"/>
      <c r="K137" s="54"/>
      <c r="L137" s="50"/>
      <c r="M137" s="54">
        <f>Source!P86</f>
        <v>20414.79</v>
      </c>
    </row>
    <row r="138" spans="1:82" ht="15">
      <c r="D138" s="111" t="s">
        <v>494</v>
      </c>
      <c r="E138" s="111"/>
      <c r="F138" s="111"/>
      <c r="G138" s="111"/>
      <c r="H138" s="111"/>
      <c r="I138" s="111"/>
      <c r="J138" s="112">
        <f>L138/F137</f>
        <v>109.17</v>
      </c>
      <c r="K138" s="112"/>
      <c r="L138" s="112">
        <f>M137</f>
        <v>20414.79</v>
      </c>
      <c r="M138" s="112"/>
      <c r="AD138">
        <f>ROUND((Source!AT86/100)*((ROUND(ROUND(Source!AO86,2)*Source!I86, 2)+ROUND(ROUND(Source!AN86,2)*Source!I86, 2))), 2)</f>
        <v>0</v>
      </c>
      <c r="AE138">
        <f>ROUND((Source!AU86/100)*((ROUND(ROUND(Source!AO86,2)*Source!I86, 2)+ROUND(ROUND(Source!AN86,2)*Source!I86, 2))), 2)</f>
        <v>0</v>
      </c>
      <c r="AN138" s="56">
        <f>M137</f>
        <v>20414.79</v>
      </c>
      <c r="AO138">
        <f>0</f>
        <v>0</v>
      </c>
      <c r="AQ138" t="s">
        <v>495</v>
      </c>
      <c r="AR138">
        <f>0</f>
        <v>0</v>
      </c>
      <c r="AT138">
        <f>0</f>
        <v>0</v>
      </c>
      <c r="AV138" t="s">
        <v>495</v>
      </c>
      <c r="AW138" s="56">
        <f>M137</f>
        <v>20414.79</v>
      </c>
      <c r="AZ138">
        <f>Source!X86</f>
        <v>0</v>
      </c>
      <c r="BA138">
        <f>Source!Y86</f>
        <v>0</v>
      </c>
      <c r="CD138">
        <v>1</v>
      </c>
    </row>
    <row r="140" spans="1:82" ht="15">
      <c r="A140" s="62"/>
      <c r="B140" s="62"/>
      <c r="C140" s="63"/>
      <c r="D140" s="129" t="s">
        <v>501</v>
      </c>
      <c r="E140" s="129"/>
      <c r="F140" s="129"/>
      <c r="G140" s="129"/>
      <c r="H140" s="129"/>
      <c r="I140" s="129"/>
      <c r="J140" s="49"/>
      <c r="K140" s="62"/>
      <c r="L140" s="64"/>
      <c r="M140" s="49">
        <f>M142+M143+M149+M153</f>
        <v>2443363.56</v>
      </c>
    </row>
    <row r="141" spans="1:82" ht="14.25">
      <c r="A141" s="59"/>
      <c r="B141" s="59"/>
      <c r="C141" s="61"/>
      <c r="D141" s="128" t="s">
        <v>502</v>
      </c>
      <c r="E141" s="127"/>
      <c r="F141" s="127"/>
      <c r="G141" s="127"/>
      <c r="H141" s="127"/>
      <c r="I141" s="127"/>
      <c r="J141" s="48"/>
      <c r="K141" s="59"/>
      <c r="L141" s="45"/>
      <c r="M141" s="48"/>
    </row>
    <row r="142" spans="1:82" ht="14.25" hidden="1">
      <c r="A142" s="59"/>
      <c r="B142" s="59"/>
      <c r="C142" s="61"/>
      <c r="D142" s="127" t="s">
        <v>503</v>
      </c>
      <c r="E142" s="127"/>
      <c r="F142" s="127"/>
      <c r="G142" s="127"/>
      <c r="H142" s="127"/>
      <c r="I142" s="127"/>
      <c r="J142" s="48"/>
      <c r="K142" s="59"/>
      <c r="L142" s="45"/>
      <c r="M142" s="48">
        <f>SUM(AR126:AR138)</f>
        <v>0</v>
      </c>
    </row>
    <row r="143" spans="1:82" ht="14.25" hidden="1">
      <c r="A143" s="59"/>
      <c r="B143" s="59"/>
      <c r="C143" s="61"/>
      <c r="D143" s="127" t="s">
        <v>504</v>
      </c>
      <c r="E143" s="127"/>
      <c r="F143" s="127"/>
      <c r="G143" s="127"/>
      <c r="H143" s="127"/>
      <c r="I143" s="127"/>
      <c r="J143" s="48"/>
      <c r="K143" s="59"/>
      <c r="L143" s="45"/>
      <c r="M143" s="48">
        <f>M145+M148+M147</f>
        <v>0</v>
      </c>
    </row>
    <row r="144" spans="1:82" ht="14.25" hidden="1">
      <c r="A144" s="59"/>
      <c r="B144" s="59"/>
      <c r="C144" s="61"/>
      <c r="D144" s="128" t="s">
        <v>505</v>
      </c>
      <c r="E144" s="127"/>
      <c r="F144" s="127"/>
      <c r="G144" s="127"/>
      <c r="H144" s="127"/>
      <c r="I144" s="127"/>
      <c r="J144" s="48"/>
      <c r="K144" s="59"/>
      <c r="L144" s="45"/>
      <c r="M144" s="48"/>
    </row>
    <row r="145" spans="1:13" ht="14.25" hidden="1">
      <c r="A145" s="59"/>
      <c r="B145" s="59"/>
      <c r="C145" s="61"/>
      <c r="D145" s="127" t="s">
        <v>504</v>
      </c>
      <c r="E145" s="127"/>
      <c r="F145" s="127"/>
      <c r="G145" s="127"/>
      <c r="H145" s="127"/>
      <c r="I145" s="127"/>
      <c r="J145" s="48"/>
      <c r="K145" s="59"/>
      <c r="L145" s="45"/>
      <c r="M145" s="48">
        <f>SUM(AO126:AO138)</f>
        <v>0</v>
      </c>
    </row>
    <row r="146" spans="1:13" ht="14.25" hidden="1">
      <c r="A146" s="59"/>
      <c r="B146" s="59"/>
      <c r="C146" s="61"/>
      <c r="D146" s="128" t="s">
        <v>506</v>
      </c>
      <c r="E146" s="127"/>
      <c r="F146" s="127"/>
      <c r="G146" s="127"/>
      <c r="H146" s="127"/>
      <c r="I146" s="127"/>
      <c r="J146" s="48"/>
      <c r="K146" s="59"/>
      <c r="L146" s="45"/>
      <c r="M146" s="48"/>
    </row>
    <row r="147" spans="1:13" ht="14.25" hidden="1">
      <c r="A147" s="59"/>
      <c r="B147" s="59"/>
      <c r="C147" s="61"/>
      <c r="D147" s="127" t="s">
        <v>526</v>
      </c>
      <c r="E147" s="127"/>
      <c r="F147" s="127"/>
      <c r="G147" s="127"/>
      <c r="H147" s="127"/>
      <c r="I147" s="127"/>
      <c r="J147" s="48"/>
      <c r="K147" s="59"/>
      <c r="L147" s="45"/>
      <c r="M147" s="48">
        <f>SUM(AT126:AT138)</f>
        <v>0</v>
      </c>
    </row>
    <row r="148" spans="1:13" ht="14.25" hidden="1">
      <c r="A148" s="59"/>
      <c r="B148" s="59"/>
      <c r="C148" s="61"/>
      <c r="D148" s="127" t="s">
        <v>507</v>
      </c>
      <c r="E148" s="127"/>
      <c r="F148" s="127"/>
      <c r="G148" s="127"/>
      <c r="H148" s="127"/>
      <c r="I148" s="127"/>
      <c r="J148" s="48"/>
      <c r="K148" s="59"/>
      <c r="L148" s="45"/>
      <c r="M148" s="48">
        <f>SUM(AV126:AV138)</f>
        <v>0</v>
      </c>
    </row>
    <row r="149" spans="1:13" ht="14.25">
      <c r="A149" s="59"/>
      <c r="B149" s="59"/>
      <c r="C149" s="61"/>
      <c r="D149" s="127" t="s">
        <v>508</v>
      </c>
      <c r="E149" s="127"/>
      <c r="F149" s="127"/>
      <c r="G149" s="127"/>
      <c r="H149" s="127"/>
      <c r="I149" s="127"/>
      <c r="J149" s="48"/>
      <c r="K149" s="59"/>
      <c r="L149" s="45"/>
      <c r="M149" s="48">
        <f>M151+M152</f>
        <v>2443363.56</v>
      </c>
    </row>
    <row r="150" spans="1:13" ht="14.25">
      <c r="A150" s="59"/>
      <c r="B150" s="59"/>
      <c r="C150" s="61"/>
      <c r="D150" s="128" t="s">
        <v>505</v>
      </c>
      <c r="E150" s="127"/>
      <c r="F150" s="127"/>
      <c r="G150" s="127"/>
      <c r="H150" s="127"/>
      <c r="I150" s="127"/>
      <c r="J150" s="48"/>
      <c r="K150" s="59"/>
      <c r="L150" s="45"/>
      <c r="M150" s="48"/>
    </row>
    <row r="151" spans="1:13" ht="14.25">
      <c r="A151" s="59"/>
      <c r="B151" s="59"/>
      <c r="C151" s="61"/>
      <c r="D151" s="127" t="s">
        <v>509</v>
      </c>
      <c r="E151" s="127"/>
      <c r="F151" s="127"/>
      <c r="G151" s="127"/>
      <c r="H151" s="127"/>
      <c r="I151" s="127"/>
      <c r="J151" s="48"/>
      <c r="K151" s="59"/>
      <c r="L151" s="45"/>
      <c r="M151" s="48">
        <f>SUM(AW126:AW138)-SUM(BK126:BK138)</f>
        <v>2443363.56</v>
      </c>
    </row>
    <row r="152" spans="1:13" ht="14.25" hidden="1">
      <c r="A152" s="59"/>
      <c r="B152" s="59"/>
      <c r="C152" s="61"/>
      <c r="D152" s="127" t="s">
        <v>510</v>
      </c>
      <c r="E152" s="127"/>
      <c r="F152" s="127"/>
      <c r="G152" s="127"/>
      <c r="H152" s="127"/>
      <c r="I152" s="127"/>
      <c r="J152" s="48"/>
      <c r="K152" s="59"/>
      <c r="L152" s="45"/>
      <c r="M152" s="48">
        <f>SUM(BC126:BC138)</f>
        <v>0</v>
      </c>
    </row>
    <row r="153" spans="1:13" ht="14.25" hidden="1">
      <c r="A153" s="59"/>
      <c r="B153" s="59"/>
      <c r="C153" s="61"/>
      <c r="D153" s="127" t="s">
        <v>511</v>
      </c>
      <c r="E153" s="127"/>
      <c r="F153" s="127"/>
      <c r="G153" s="127"/>
      <c r="H153" s="127"/>
      <c r="I153" s="127"/>
      <c r="J153" s="48"/>
      <c r="K153" s="59"/>
      <c r="L153" s="45"/>
      <c r="M153" s="48">
        <f>SUM(BB126:BB138)</f>
        <v>0</v>
      </c>
    </row>
    <row r="154" spans="1:13" ht="14.25" hidden="1">
      <c r="A154" s="59"/>
      <c r="B154" s="59"/>
      <c r="C154" s="61"/>
      <c r="D154" s="127" t="s">
        <v>512</v>
      </c>
      <c r="E154" s="127"/>
      <c r="F154" s="127"/>
      <c r="G154" s="127"/>
      <c r="H154" s="127"/>
      <c r="I154" s="127"/>
      <c r="J154" s="48"/>
      <c r="K154" s="59"/>
      <c r="L154" s="45"/>
      <c r="M154" s="48">
        <f>SUM(AR126:AR138)+SUM(AT126:AT138)+SUM(AV126:AV138)</f>
        <v>0</v>
      </c>
    </row>
    <row r="155" spans="1:13" ht="14.25" hidden="1">
      <c r="A155" s="59"/>
      <c r="B155" s="59"/>
      <c r="C155" s="61"/>
      <c r="D155" s="127" t="s">
        <v>513</v>
      </c>
      <c r="E155" s="127"/>
      <c r="F155" s="127"/>
      <c r="G155" s="127"/>
      <c r="H155" s="127"/>
      <c r="I155" s="127"/>
      <c r="J155" s="48"/>
      <c r="K155" s="59"/>
      <c r="L155" s="45"/>
      <c r="M155" s="48">
        <f>SUM(AZ126:AZ138)</f>
        <v>0</v>
      </c>
    </row>
    <row r="156" spans="1:13" ht="14.25" hidden="1">
      <c r="A156" s="59"/>
      <c r="B156" s="59"/>
      <c r="C156" s="61"/>
      <c r="D156" s="127" t="s">
        <v>514</v>
      </c>
      <c r="E156" s="127"/>
      <c r="F156" s="127"/>
      <c r="G156" s="127"/>
      <c r="H156" s="127"/>
      <c r="I156" s="127"/>
      <c r="J156" s="48"/>
      <c r="K156" s="59"/>
      <c r="L156" s="45"/>
      <c r="M156" s="48">
        <f>SUM(BA126:BA138)</f>
        <v>0</v>
      </c>
    </row>
    <row r="157" spans="1:13" ht="14.25" hidden="1">
      <c r="A157" s="59"/>
      <c r="B157" s="59"/>
      <c r="C157" s="61"/>
      <c r="D157" s="127" t="s">
        <v>515</v>
      </c>
      <c r="E157" s="127"/>
      <c r="F157" s="127"/>
      <c r="G157" s="127"/>
      <c r="H157" s="127"/>
      <c r="I157" s="127"/>
      <c r="J157" s="48"/>
      <c r="K157" s="59"/>
      <c r="L157" s="45"/>
      <c r="M157" s="48">
        <f>M159+M160</f>
        <v>0</v>
      </c>
    </row>
    <row r="158" spans="1:13" ht="14.25" hidden="1">
      <c r="A158" s="59"/>
      <c r="B158" s="59"/>
      <c r="C158" s="61"/>
      <c r="D158" s="128" t="s">
        <v>502</v>
      </c>
      <c r="E158" s="127"/>
      <c r="F158" s="127"/>
      <c r="G158" s="127"/>
      <c r="H158" s="127"/>
      <c r="I158" s="127"/>
      <c r="J158" s="48"/>
      <c r="K158" s="59"/>
      <c r="L158" s="45"/>
      <c r="M158" s="48"/>
    </row>
    <row r="159" spans="1:13" ht="14.25" hidden="1">
      <c r="A159" s="59"/>
      <c r="B159" s="59"/>
      <c r="C159" s="61"/>
      <c r="D159" s="127" t="s">
        <v>516</v>
      </c>
      <c r="E159" s="127"/>
      <c r="F159" s="127"/>
      <c r="G159" s="127"/>
      <c r="H159" s="127"/>
      <c r="I159" s="127"/>
      <c r="J159" s="48"/>
      <c r="K159" s="59"/>
      <c r="L159" s="45"/>
      <c r="M159" s="48">
        <f>SUM(BK126:BK138)</f>
        <v>0</v>
      </c>
    </row>
    <row r="160" spans="1:13" ht="14.25" hidden="1">
      <c r="A160" s="59"/>
      <c r="B160" s="59"/>
      <c r="C160" s="61"/>
      <c r="D160" s="127" t="s">
        <v>517</v>
      </c>
      <c r="E160" s="127"/>
      <c r="F160" s="127"/>
      <c r="G160" s="127"/>
      <c r="H160" s="127"/>
      <c r="I160" s="127"/>
      <c r="J160" s="48"/>
      <c r="K160" s="59"/>
      <c r="L160" s="45"/>
      <c r="M160" s="48">
        <f>SUM(BD126:BD138)</f>
        <v>0</v>
      </c>
    </row>
    <row r="161" spans="1:13" ht="14.25" hidden="1">
      <c r="A161" s="59"/>
      <c r="B161" s="59"/>
      <c r="C161" s="61"/>
      <c r="D161" s="127" t="s">
        <v>518</v>
      </c>
      <c r="E161" s="127"/>
      <c r="F161" s="127"/>
      <c r="G161" s="127"/>
      <c r="H161" s="127"/>
      <c r="I161" s="127"/>
      <c r="J161" s="48"/>
      <c r="K161" s="59"/>
      <c r="L161" s="45"/>
      <c r="M161" s="48"/>
    </row>
    <row r="162" spans="1:13" ht="14.25" hidden="1">
      <c r="A162" s="59"/>
      <c r="B162" s="59"/>
      <c r="C162" s="61"/>
      <c r="D162" s="127" t="s">
        <v>519</v>
      </c>
      <c r="E162" s="127"/>
      <c r="F162" s="127"/>
      <c r="G162" s="127"/>
      <c r="H162" s="127"/>
      <c r="I162" s="127"/>
      <c r="J162" s="48"/>
      <c r="K162" s="59"/>
      <c r="L162" s="45"/>
      <c r="M162" s="48">
        <f>SUM(BO126:BO138)</f>
        <v>0</v>
      </c>
    </row>
    <row r="163" spans="1:13" ht="15">
      <c r="A163" s="62"/>
      <c r="B163" s="62"/>
      <c r="C163" s="63"/>
      <c r="D163" s="129" t="s">
        <v>520</v>
      </c>
      <c r="E163" s="129"/>
      <c r="F163" s="129"/>
      <c r="G163" s="129"/>
      <c r="H163" s="129"/>
      <c r="I163" s="129"/>
      <c r="J163" s="49"/>
      <c r="K163" s="62"/>
      <c r="L163" s="64"/>
      <c r="M163" s="49">
        <f>M140+M155+M156+M157+M161+M162</f>
        <v>2443363.56</v>
      </c>
    </row>
    <row r="164" spans="1:13" ht="14.25" hidden="1">
      <c r="A164" s="59"/>
      <c r="B164" s="59"/>
      <c r="C164" s="61"/>
      <c r="D164" s="128" t="s">
        <v>521</v>
      </c>
      <c r="E164" s="127"/>
      <c r="F164" s="127"/>
      <c r="G164" s="127"/>
      <c r="H164" s="127"/>
      <c r="I164" s="127"/>
      <c r="J164" s="48"/>
      <c r="K164" s="59"/>
      <c r="L164" s="45"/>
      <c r="M164" s="48"/>
    </row>
    <row r="165" spans="1:13" ht="14.25" hidden="1">
      <c r="A165" s="59"/>
      <c r="B165" s="59"/>
      <c r="C165" s="61"/>
      <c r="D165" s="127" t="s">
        <v>522</v>
      </c>
      <c r="E165" s="127"/>
      <c r="F165" s="127"/>
      <c r="G165" s="127"/>
      <c r="H165" s="127"/>
      <c r="I165" s="127"/>
      <c r="J165" s="48"/>
      <c r="K165" s="59"/>
      <c r="L165" s="45"/>
      <c r="M165" s="48">
        <f>SUM(AX126:AX138)</f>
        <v>0</v>
      </c>
    </row>
    <row r="166" spans="1:13" ht="14.25" hidden="1">
      <c r="A166" s="59"/>
      <c r="B166" s="59"/>
      <c r="C166" s="61"/>
      <c r="D166" s="127" t="s">
        <v>523</v>
      </c>
      <c r="E166" s="127"/>
      <c r="F166" s="127"/>
      <c r="G166" s="127"/>
      <c r="H166" s="127"/>
      <c r="I166" s="127"/>
      <c r="J166" s="48"/>
      <c r="K166" s="59"/>
      <c r="L166" s="45"/>
      <c r="M166" s="48">
        <f>SUM(AY126:AY138)</f>
        <v>0</v>
      </c>
    </row>
    <row r="167" spans="1:13" ht="14.25" hidden="1" customHeight="1">
      <c r="A167" s="59"/>
      <c r="B167" s="59"/>
      <c r="C167" s="61"/>
      <c r="D167" s="127" t="s">
        <v>524</v>
      </c>
      <c r="E167" s="127"/>
      <c r="F167" s="127"/>
      <c r="G167" s="130"/>
      <c r="H167" s="47">
        <f>Source!F110</f>
        <v>0</v>
      </c>
      <c r="I167" s="59"/>
      <c r="J167" s="59"/>
      <c r="K167" s="59"/>
      <c r="L167" s="59"/>
      <c r="M167" s="59"/>
    </row>
    <row r="168" spans="1:13" ht="14.25" hidden="1" customHeight="1">
      <c r="A168" s="59"/>
      <c r="B168" s="59"/>
      <c r="C168" s="61"/>
      <c r="D168" s="127" t="s">
        <v>525</v>
      </c>
      <c r="E168" s="127"/>
      <c r="F168" s="127"/>
      <c r="G168" s="130"/>
      <c r="H168" s="47">
        <f>Source!F111</f>
        <v>0</v>
      </c>
      <c r="I168" s="59"/>
      <c r="J168" s="59"/>
      <c r="K168" s="59"/>
      <c r="L168" s="59"/>
      <c r="M168" s="59"/>
    </row>
    <row r="170" spans="1:13" ht="14.25">
      <c r="D170" s="131" t="str">
        <f>Source!H127</f>
        <v>НДС 20%</v>
      </c>
      <c r="E170" s="131"/>
      <c r="F170" s="131"/>
      <c r="G170" s="131"/>
      <c r="H170" s="131"/>
      <c r="I170" s="131"/>
      <c r="J170" s="131"/>
      <c r="K170" s="131"/>
      <c r="L170" s="131"/>
      <c r="M170" s="57">
        <f>IF(Source!Y127=0, "", Source!Y127)</f>
        <v>488672.71</v>
      </c>
    </row>
    <row r="171" spans="1:13" ht="14.25">
      <c r="D171" s="131" t="str">
        <f>Source!H128</f>
        <v>ИТОГО с НДС</v>
      </c>
      <c r="E171" s="131"/>
      <c r="F171" s="131"/>
      <c r="G171" s="131"/>
      <c r="H171" s="131"/>
      <c r="I171" s="131"/>
      <c r="J171" s="131"/>
      <c r="K171" s="131"/>
      <c r="L171" s="131"/>
      <c r="M171" s="57">
        <f>IF(Source!Y128=0, "", Source!Y128)</f>
        <v>2932036.27</v>
      </c>
    </row>
    <row r="173" spans="1:13" ht="16.5">
      <c r="A173" s="110" t="s">
        <v>528</v>
      </c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</row>
    <row r="174" spans="1:13" ht="28.5">
      <c r="A174" s="40" t="s">
        <v>145</v>
      </c>
      <c r="B174" s="42">
        <v>10</v>
      </c>
      <c r="C174" s="42" t="s">
        <v>529</v>
      </c>
      <c r="D174" s="42" t="str">
        <f>Source!G134</f>
        <v>Счетчики, устанавливаемые на готовом основании: трехфазные</v>
      </c>
      <c r="E174" s="43" t="str">
        <f>Source!H134</f>
        <v>ШТ</v>
      </c>
      <c r="F174" s="47">
        <f>Source!K134</f>
        <v>13</v>
      </c>
      <c r="G174" s="41"/>
      <c r="H174" s="47">
        <f>Source!I134</f>
        <v>13</v>
      </c>
      <c r="I174" s="48"/>
      <c r="J174" s="46"/>
      <c r="K174" s="48"/>
      <c r="L174" s="42"/>
      <c r="M174" s="48"/>
    </row>
    <row r="175" spans="1:13" ht="15">
      <c r="A175" s="41"/>
      <c r="B175" s="41"/>
      <c r="C175" s="45">
        <v>1</v>
      </c>
      <c r="D175" s="41" t="s">
        <v>483</v>
      </c>
      <c r="E175" s="43" t="s">
        <v>321</v>
      </c>
      <c r="F175" s="47"/>
      <c r="G175" s="45"/>
      <c r="H175" s="47">
        <f>Source!U134</f>
        <v>9.1</v>
      </c>
      <c r="I175" s="45"/>
      <c r="J175" s="45"/>
      <c r="K175" s="45"/>
      <c r="L175" s="45"/>
      <c r="M175" s="49">
        <f>SUM(M176:M176)-SUMIF(CE176:CE176, 1, M176:M176)</f>
        <v>2840.66</v>
      </c>
    </row>
    <row r="176" spans="1:13" ht="28.5">
      <c r="A176" s="42"/>
      <c r="B176" s="42"/>
      <c r="C176" s="42" t="s">
        <v>319</v>
      </c>
      <c r="D176" s="42" t="s">
        <v>320</v>
      </c>
      <c r="E176" s="43" t="s">
        <v>321</v>
      </c>
      <c r="F176" s="47">
        <v>0.7</v>
      </c>
      <c r="G176" s="41"/>
      <c r="H176" s="47">
        <f>SmtRes!CX21</f>
        <v>9.1</v>
      </c>
      <c r="I176" s="48"/>
      <c r="J176" s="46"/>
      <c r="K176" s="48">
        <f>SmtRes!CZ21</f>
        <v>312.16000000000003</v>
      </c>
      <c r="L176" s="42"/>
      <c r="M176" s="48">
        <f>SmtRes!DI21</f>
        <v>2840.66</v>
      </c>
    </row>
    <row r="177" spans="1:83" ht="15">
      <c r="A177" s="41"/>
      <c r="B177" s="41"/>
      <c r="C177" s="45">
        <v>2</v>
      </c>
      <c r="D177" s="41" t="s">
        <v>484</v>
      </c>
      <c r="E177" s="43"/>
      <c r="F177" s="47"/>
      <c r="G177" s="45"/>
      <c r="H177" s="47"/>
      <c r="I177" s="45"/>
      <c r="J177" s="45"/>
      <c r="K177" s="45"/>
      <c r="L177" s="45"/>
      <c r="M177" s="49">
        <f>SUM(M178:M182)-SUMIF(CE178:CE182, 1, M178:M182)</f>
        <v>260.10000000000002</v>
      </c>
    </row>
    <row r="178" spans="1:83" ht="15">
      <c r="A178" s="41"/>
      <c r="B178" s="41"/>
      <c r="C178" s="45"/>
      <c r="D178" s="41" t="s">
        <v>487</v>
      </c>
      <c r="E178" s="43" t="s">
        <v>321</v>
      </c>
      <c r="F178" s="47"/>
      <c r="G178" s="45"/>
      <c r="H178" s="47">
        <f>Source!V134</f>
        <v>0.26</v>
      </c>
      <c r="I178" s="45"/>
      <c r="J178" s="45"/>
      <c r="K178" s="45"/>
      <c r="L178" s="45"/>
      <c r="M178" s="49">
        <f>SUMIF(CE179:CE182, 1, M179:M182)</f>
        <v>92.33</v>
      </c>
      <c r="CE178">
        <v>1</v>
      </c>
    </row>
    <row r="179" spans="1:83" ht="28.5">
      <c r="A179" s="42"/>
      <c r="B179" s="42"/>
      <c r="C179" s="42" t="s">
        <v>324</v>
      </c>
      <c r="D179" s="42" t="s">
        <v>326</v>
      </c>
      <c r="E179" s="43" t="s">
        <v>327</v>
      </c>
      <c r="F179" s="47">
        <v>0.01</v>
      </c>
      <c r="G179" s="41"/>
      <c r="H179" s="47">
        <f>SmtRes!CX23</f>
        <v>0.13</v>
      </c>
      <c r="I179" s="48"/>
      <c r="J179" s="46"/>
      <c r="K179" s="48">
        <f>SmtRes!CZ23</f>
        <v>1442.85</v>
      </c>
      <c r="L179" s="42"/>
      <c r="M179" s="48">
        <f>SmtRes!DG23</f>
        <v>187.57</v>
      </c>
    </row>
    <row r="180" spans="1:83" ht="28.5">
      <c r="A180" s="42"/>
      <c r="B180" s="42"/>
      <c r="C180" s="42" t="s">
        <v>328</v>
      </c>
      <c r="D180" s="42" t="s">
        <v>485</v>
      </c>
      <c r="E180" s="43" t="s">
        <v>321</v>
      </c>
      <c r="F180" s="47">
        <f>SmtRes!DO23*SmtRes!AT23</f>
        <v>0.01</v>
      </c>
      <c r="G180" s="41"/>
      <c r="H180" s="47">
        <f>SmtRes!DO23*SmtRes!CX23</f>
        <v>0.13</v>
      </c>
      <c r="I180" s="48"/>
      <c r="J180" s="46"/>
      <c r="K180" s="48">
        <f>ROUND(SmtRes!AG23/SmtRes!DO23, 2)</f>
        <v>407.16</v>
      </c>
      <c r="L180" s="42"/>
      <c r="M180" s="48">
        <f>SmtRes!DH23</f>
        <v>52.93</v>
      </c>
      <c r="CE180">
        <v>1</v>
      </c>
    </row>
    <row r="181" spans="1:83" ht="28.5">
      <c r="A181" s="42"/>
      <c r="B181" s="42"/>
      <c r="C181" s="42" t="s">
        <v>329</v>
      </c>
      <c r="D181" s="42" t="s">
        <v>331</v>
      </c>
      <c r="E181" s="43" t="s">
        <v>327</v>
      </c>
      <c r="F181" s="47">
        <v>0.01</v>
      </c>
      <c r="G181" s="41"/>
      <c r="H181" s="47">
        <f>SmtRes!CX24</f>
        <v>0.13</v>
      </c>
      <c r="I181" s="48"/>
      <c r="J181" s="46"/>
      <c r="K181" s="48">
        <f>SmtRes!CZ24</f>
        <v>557.94000000000005</v>
      </c>
      <c r="L181" s="42"/>
      <c r="M181" s="48">
        <f>SmtRes!DG24</f>
        <v>72.53</v>
      </c>
    </row>
    <row r="182" spans="1:83" ht="28.5">
      <c r="A182" s="42"/>
      <c r="B182" s="42"/>
      <c r="C182" s="42" t="s">
        <v>332</v>
      </c>
      <c r="D182" s="42" t="s">
        <v>486</v>
      </c>
      <c r="E182" s="43" t="s">
        <v>321</v>
      </c>
      <c r="F182" s="47">
        <f>SmtRes!DO24*SmtRes!AT24</f>
        <v>0.01</v>
      </c>
      <c r="G182" s="41"/>
      <c r="H182" s="47">
        <f>SmtRes!DO24*SmtRes!CX24</f>
        <v>0.13</v>
      </c>
      <c r="I182" s="48"/>
      <c r="J182" s="46"/>
      <c r="K182" s="48">
        <f>ROUND(SmtRes!AG24/SmtRes!DO24, 2)</f>
        <v>303.11</v>
      </c>
      <c r="L182" s="42"/>
      <c r="M182" s="48">
        <f>SmtRes!DH24</f>
        <v>39.4</v>
      </c>
      <c r="CE182">
        <v>1</v>
      </c>
    </row>
    <row r="183" spans="1:83" ht="15">
      <c r="A183" s="41"/>
      <c r="B183" s="41"/>
      <c r="C183" s="45">
        <v>4</v>
      </c>
      <c r="D183" s="41" t="s">
        <v>488</v>
      </c>
      <c r="E183" s="43"/>
      <c r="F183" s="47"/>
      <c r="G183" s="45"/>
      <c r="H183" s="47"/>
      <c r="I183" s="45"/>
      <c r="J183" s="45"/>
      <c r="K183" s="45"/>
      <c r="L183" s="45"/>
      <c r="M183" s="49">
        <f>SUM(M184:M184)-SUMIF(CE184:CE184, 1, M184:M184)</f>
        <v>57.64</v>
      </c>
    </row>
    <row r="184" spans="1:83" ht="28.5">
      <c r="A184" s="42"/>
      <c r="B184" s="42"/>
      <c r="C184" s="42" t="s">
        <v>333</v>
      </c>
      <c r="D184" s="50" t="s">
        <v>335</v>
      </c>
      <c r="E184" s="51" t="s">
        <v>37</v>
      </c>
      <c r="F184" s="52">
        <v>3.0000000000000001E-5</v>
      </c>
      <c r="G184" s="53"/>
      <c r="H184" s="52">
        <f>SmtRes!CX25</f>
        <v>3.8999999999999999E-4</v>
      </c>
      <c r="I184" s="54">
        <f>SmtRes!CZ25</f>
        <v>127406</v>
      </c>
      <c r="J184" s="55">
        <f>SmtRes!AI25</f>
        <v>1.1599999999999999</v>
      </c>
      <c r="K184" s="54">
        <f>ROUND(I184*J184, 2)</f>
        <v>147790.96</v>
      </c>
      <c r="L184" s="50"/>
      <c r="M184" s="54">
        <f>SmtRes!DF25</f>
        <v>57.64</v>
      </c>
    </row>
    <row r="185" spans="1:83" ht="15">
      <c r="A185" s="42"/>
      <c r="B185" s="42"/>
      <c r="C185" s="42"/>
      <c r="D185" s="58" t="s">
        <v>489</v>
      </c>
      <c r="E185" s="43"/>
      <c r="F185" s="47"/>
      <c r="G185" s="41"/>
      <c r="H185" s="47"/>
      <c r="I185" s="48"/>
      <c r="J185" s="46"/>
      <c r="K185" s="48"/>
      <c r="L185" s="42"/>
      <c r="M185" s="48">
        <f>M175+M177+M178+M183</f>
        <v>3250.7299999999996</v>
      </c>
    </row>
    <row r="186" spans="1:83" ht="57">
      <c r="A186" s="40" t="s">
        <v>530</v>
      </c>
      <c r="B186" s="42" t="s">
        <v>149</v>
      </c>
      <c r="C186" s="42" t="str">
        <f>Source!F135</f>
        <v>421/пр_2020_п.75_пп.а</v>
      </c>
      <c r="D186" s="42" t="str">
        <f>Source!G135</f>
        <v>Сметная стоимость вспомогательных ненормируемых материальных ресурсов, не учтенная в сметной норме, 2%</v>
      </c>
      <c r="E186" s="43" t="str">
        <f>Source!H135</f>
        <v>%</v>
      </c>
      <c r="F186" s="47">
        <f>SmtRes!AT26</f>
        <v>2</v>
      </c>
      <c r="G186" s="41"/>
      <c r="H186" s="47">
        <f>Source!I135</f>
        <v>2</v>
      </c>
      <c r="I186" s="48"/>
      <c r="J186" s="46"/>
      <c r="K186" s="48"/>
      <c r="L186" s="42"/>
      <c r="M186" s="48">
        <f>Source!P135</f>
        <v>56.81</v>
      </c>
      <c r="AD186">
        <f>ROUND((Source!AT135/100)*((ROUND(0*Source!I135, 2)+ROUND(0*Source!I135, 2))), 2)</f>
        <v>0</v>
      </c>
      <c r="AE186">
        <f>ROUND((Source!AU135/100)*((ROUND(0*Source!I135, 2)+ROUND(0*Source!I135, 2))), 2)</f>
        <v>0</v>
      </c>
      <c r="AN186">
        <f>M186</f>
        <v>56.81</v>
      </c>
      <c r="AW186">
        <f>M186</f>
        <v>56.81</v>
      </c>
      <c r="AZ186">
        <f>Source!X135</f>
        <v>0</v>
      </c>
      <c r="BA186">
        <f>Source!Y135</f>
        <v>0</v>
      </c>
      <c r="CD186">
        <v>4</v>
      </c>
    </row>
    <row r="187" spans="1:83" ht="14.25">
      <c r="A187" s="42"/>
      <c r="B187" s="42"/>
      <c r="C187" s="42"/>
      <c r="D187" s="42" t="s">
        <v>491</v>
      </c>
      <c r="E187" s="43"/>
      <c r="F187" s="47"/>
      <c r="G187" s="41"/>
      <c r="H187" s="47"/>
      <c r="I187" s="48"/>
      <c r="J187" s="46"/>
      <c r="K187" s="48"/>
      <c r="L187" s="42"/>
      <c r="M187" s="48">
        <f>SUM(AR174:AR190)+SUM(AS174:AS190)+SUM(AT174:AT190)+SUM(AU174:AU190)+SUM(AV174:AV190)</f>
        <v>2932.99</v>
      </c>
    </row>
    <row r="188" spans="1:83" ht="28.5">
      <c r="A188" s="42"/>
      <c r="B188" s="42"/>
      <c r="C188" s="42" t="s">
        <v>25</v>
      </c>
      <c r="D188" s="42" t="s">
        <v>492</v>
      </c>
      <c r="E188" s="43" t="s">
        <v>30</v>
      </c>
      <c r="F188" s="47">
        <f>Source!BZ134</f>
        <v>97</v>
      </c>
      <c r="G188" s="41"/>
      <c r="H188" s="47">
        <f>Source!AT134</f>
        <v>97</v>
      </c>
      <c r="I188" s="48"/>
      <c r="J188" s="46"/>
      <c r="K188" s="48"/>
      <c r="L188" s="42"/>
      <c r="M188" s="48">
        <f>SUM(AZ174:AZ190)</f>
        <v>2845</v>
      </c>
    </row>
    <row r="189" spans="1:83" ht="28.5">
      <c r="A189" s="50"/>
      <c r="B189" s="50"/>
      <c r="C189" s="50" t="s">
        <v>26</v>
      </c>
      <c r="D189" s="50" t="s">
        <v>493</v>
      </c>
      <c r="E189" s="51" t="s">
        <v>30</v>
      </c>
      <c r="F189" s="52">
        <f>Source!CA134</f>
        <v>51</v>
      </c>
      <c r="G189" s="53"/>
      <c r="H189" s="52">
        <f>Source!AU134</f>
        <v>51</v>
      </c>
      <c r="I189" s="54"/>
      <c r="J189" s="55"/>
      <c r="K189" s="54"/>
      <c r="L189" s="50"/>
      <c r="M189" s="54">
        <f>SUM(BA174:BA190)</f>
        <v>1495.82</v>
      </c>
    </row>
    <row r="190" spans="1:83" ht="15">
      <c r="D190" s="111" t="s">
        <v>494</v>
      </c>
      <c r="E190" s="111"/>
      <c r="F190" s="111"/>
      <c r="G190" s="111"/>
      <c r="H190" s="111"/>
      <c r="I190" s="111"/>
      <c r="J190" s="112">
        <f>L190/F174</f>
        <v>588.33538461538456</v>
      </c>
      <c r="K190" s="112"/>
      <c r="L190" s="112">
        <f>M175+M177+M183+M188+M189+M178+SUM(M186:M186)</f>
        <v>7648.36</v>
      </c>
      <c r="M190" s="112"/>
      <c r="AD190">
        <f>ROUND((Source!AT134/100)*((ROUND(SUMIF(SmtRes!AQ21:'SmtRes'!AQ26,"=1",SmtRes!AD21:'SmtRes'!AD26)*Source!I134, 2)+ROUND(SUMIF(SmtRes!AQ21:'SmtRes'!AQ26,"=1",SmtRes!AC21:'SmtRes'!AC26)*Source!I134, 2))), 2)</f>
        <v>12892.84</v>
      </c>
      <c r="AE190">
        <f>ROUND((Source!AU134/100)*((ROUND(SUMIF(SmtRes!AQ21:'SmtRes'!AQ26,"=1",SmtRes!AD21:'SmtRes'!AD26)*Source!I134, 2)+ROUND(SUMIF(SmtRes!AQ21:'SmtRes'!AQ26,"=1",SmtRes!AC21:'SmtRes'!AC26)*Source!I134, 2))), 2)</f>
        <v>6778.71</v>
      </c>
      <c r="AN190" s="56">
        <f>M175+M177+M183+M188+M189+M178</f>
        <v>7591.5499999999993</v>
      </c>
      <c r="AO190" s="56">
        <f>M177</f>
        <v>260.10000000000002</v>
      </c>
      <c r="AQ190" t="s">
        <v>495</v>
      </c>
      <c r="AR190" s="56">
        <f>M175</f>
        <v>2840.66</v>
      </c>
      <c r="AT190" s="56">
        <f>M178</f>
        <v>92.33</v>
      </c>
      <c r="AV190" t="s">
        <v>495</v>
      </c>
      <c r="AW190" s="56">
        <f>M183</f>
        <v>57.64</v>
      </c>
      <c r="AZ190">
        <f>Source!X134</f>
        <v>2845</v>
      </c>
      <c r="BA190">
        <f>Source!Y134</f>
        <v>1495.82</v>
      </c>
      <c r="CD190">
        <v>2</v>
      </c>
    </row>
    <row r="191" spans="1:83" ht="42.75">
      <c r="A191" s="40" t="s">
        <v>150</v>
      </c>
      <c r="B191" s="42">
        <v>11</v>
      </c>
      <c r="C191" s="42" t="s">
        <v>499</v>
      </c>
      <c r="D191" s="42" t="str">
        <f>Source!G136</f>
        <v>Присоединение к зажимам жил проводов или кабелей сечением: до 16 мм2</v>
      </c>
      <c r="E191" s="43" t="str">
        <f>Source!H136</f>
        <v>100 ШТ</v>
      </c>
      <c r="F191" s="47">
        <f>Source!K136</f>
        <v>1.04</v>
      </c>
      <c r="G191" s="41"/>
      <c r="H191" s="47">
        <f>Source!I136</f>
        <v>1.04</v>
      </c>
      <c r="I191" s="48"/>
      <c r="J191" s="46"/>
      <c r="K191" s="48"/>
      <c r="L191" s="42"/>
      <c r="M191" s="48"/>
    </row>
    <row r="192" spans="1:83">
      <c r="D192" s="60" t="str">
        <f>"Объем: "&amp;Source!I136&amp;"=104/"&amp;"100"</f>
        <v>Объем: 1,04=104/100</v>
      </c>
    </row>
    <row r="193" spans="1:82" ht="15">
      <c r="A193" s="41"/>
      <c r="B193" s="41"/>
      <c r="C193" s="45">
        <v>1</v>
      </c>
      <c r="D193" s="41" t="s">
        <v>483</v>
      </c>
      <c r="E193" s="43" t="s">
        <v>321</v>
      </c>
      <c r="F193" s="47"/>
      <c r="G193" s="45"/>
      <c r="H193" s="47">
        <f>Source!U136</f>
        <v>12.6464</v>
      </c>
      <c r="I193" s="45"/>
      <c r="J193" s="45"/>
      <c r="K193" s="45"/>
      <c r="L193" s="45"/>
      <c r="M193" s="49">
        <f>SUM(M194:M194)-SUMIF(CE194:CE194, 1, M194:M194)</f>
        <v>3747.38</v>
      </c>
    </row>
    <row r="194" spans="1:82" ht="28.5">
      <c r="A194" s="42"/>
      <c r="B194" s="42"/>
      <c r="C194" s="42" t="s">
        <v>361</v>
      </c>
      <c r="D194" s="50" t="s">
        <v>362</v>
      </c>
      <c r="E194" s="51" t="s">
        <v>321</v>
      </c>
      <c r="F194" s="52">
        <v>12.16</v>
      </c>
      <c r="G194" s="53"/>
      <c r="H194" s="52">
        <f>SmtRes!CX27</f>
        <v>12.6464</v>
      </c>
      <c r="I194" s="54"/>
      <c r="J194" s="55"/>
      <c r="K194" s="54">
        <f>SmtRes!CZ27</f>
        <v>296.32</v>
      </c>
      <c r="L194" s="50"/>
      <c r="M194" s="54">
        <f>SmtRes!DI27</f>
        <v>3747.38</v>
      </c>
    </row>
    <row r="195" spans="1:82" ht="15">
      <c r="A195" s="42"/>
      <c r="B195" s="42"/>
      <c r="C195" s="42"/>
      <c r="D195" s="58" t="s">
        <v>489</v>
      </c>
      <c r="E195" s="43"/>
      <c r="F195" s="47"/>
      <c r="G195" s="41"/>
      <c r="H195" s="47"/>
      <c r="I195" s="48"/>
      <c r="J195" s="46"/>
      <c r="K195" s="48"/>
      <c r="L195" s="42"/>
      <c r="M195" s="48">
        <f>M193</f>
        <v>3747.38</v>
      </c>
    </row>
    <row r="196" spans="1:82" ht="57">
      <c r="A196" s="40" t="s">
        <v>531</v>
      </c>
      <c r="B196" s="42" t="s">
        <v>151</v>
      </c>
      <c r="C196" s="42" t="str">
        <f>Source!F137</f>
        <v>421/пр_2020_п.75_пп.а</v>
      </c>
      <c r="D196" s="42" t="str">
        <f>Source!G137</f>
        <v>Сметная стоимость вспомогательных ненормируемых материальных ресурсов, не учтенная в сметной норме, 2%</v>
      </c>
      <c r="E196" s="43" t="str">
        <f>Source!H137</f>
        <v>%</v>
      </c>
      <c r="F196" s="47">
        <f>SmtRes!AT28</f>
        <v>2</v>
      </c>
      <c r="G196" s="41"/>
      <c r="H196" s="47">
        <f>Source!I137</f>
        <v>2</v>
      </c>
      <c r="I196" s="48"/>
      <c r="J196" s="46"/>
      <c r="K196" s="48"/>
      <c r="L196" s="42"/>
      <c r="M196" s="48">
        <f>Source!P137</f>
        <v>74.95</v>
      </c>
      <c r="AD196">
        <f>ROUND((Source!AT137/100)*((ROUND(0*Source!I137, 2)+ROUND(0*Source!I137, 2))), 2)</f>
        <v>0</v>
      </c>
      <c r="AE196">
        <f>ROUND((Source!AU137/100)*((ROUND(0*Source!I137, 2)+ROUND(0*Source!I137, 2))), 2)</f>
        <v>0</v>
      </c>
      <c r="AN196">
        <f>M196</f>
        <v>74.95</v>
      </c>
      <c r="AW196">
        <f>M196</f>
        <v>74.95</v>
      </c>
      <c r="AZ196">
        <f>Source!X137</f>
        <v>0</v>
      </c>
      <c r="BA196">
        <f>Source!Y137</f>
        <v>0</v>
      </c>
      <c r="CD196">
        <v>4</v>
      </c>
    </row>
    <row r="197" spans="1:82" ht="14.25">
      <c r="A197" s="42"/>
      <c r="B197" s="42"/>
      <c r="C197" s="42"/>
      <c r="D197" s="42" t="s">
        <v>491</v>
      </c>
      <c r="E197" s="43"/>
      <c r="F197" s="47"/>
      <c r="G197" s="41"/>
      <c r="H197" s="47"/>
      <c r="I197" s="48"/>
      <c r="J197" s="46"/>
      <c r="K197" s="48"/>
      <c r="L197" s="42"/>
      <c r="M197" s="48">
        <f>SUM(AR191:AR200)+SUM(AS191:AS200)+SUM(AT191:AT200)+SUM(AU191:AU200)+SUM(AV191:AV200)</f>
        <v>3747.38</v>
      </c>
    </row>
    <row r="198" spans="1:82" ht="28.5">
      <c r="A198" s="42"/>
      <c r="B198" s="42"/>
      <c r="C198" s="42" t="s">
        <v>25</v>
      </c>
      <c r="D198" s="42" t="s">
        <v>492</v>
      </c>
      <c r="E198" s="43" t="s">
        <v>30</v>
      </c>
      <c r="F198" s="47">
        <f>Source!BZ136</f>
        <v>97</v>
      </c>
      <c r="G198" s="41"/>
      <c r="H198" s="47">
        <f>Source!AT136</f>
        <v>97</v>
      </c>
      <c r="I198" s="48"/>
      <c r="J198" s="46"/>
      <c r="K198" s="48"/>
      <c r="L198" s="42"/>
      <c r="M198" s="48">
        <f>SUM(AZ191:AZ200)</f>
        <v>3634.96</v>
      </c>
    </row>
    <row r="199" spans="1:82" ht="28.5">
      <c r="A199" s="50"/>
      <c r="B199" s="50"/>
      <c r="C199" s="50" t="s">
        <v>26</v>
      </c>
      <c r="D199" s="50" t="s">
        <v>493</v>
      </c>
      <c r="E199" s="51" t="s">
        <v>30</v>
      </c>
      <c r="F199" s="52">
        <f>Source!CA136</f>
        <v>51</v>
      </c>
      <c r="G199" s="53"/>
      <c r="H199" s="52">
        <f>Source!AU136</f>
        <v>51</v>
      </c>
      <c r="I199" s="54"/>
      <c r="J199" s="55"/>
      <c r="K199" s="54"/>
      <c r="L199" s="50"/>
      <c r="M199" s="54">
        <f>SUM(BA191:BA200)</f>
        <v>1911.16</v>
      </c>
    </row>
    <row r="200" spans="1:82" ht="15">
      <c r="D200" s="111" t="s">
        <v>494</v>
      </c>
      <c r="E200" s="111"/>
      <c r="F200" s="111"/>
      <c r="G200" s="111"/>
      <c r="H200" s="111"/>
      <c r="I200" s="111"/>
      <c r="J200" s="112">
        <f>L200/F191</f>
        <v>9008.125</v>
      </c>
      <c r="K200" s="112"/>
      <c r="L200" s="112">
        <f>M193+M198+M199+SUM(M196:M196)</f>
        <v>9368.4500000000007</v>
      </c>
      <c r="M200" s="112"/>
      <c r="AD200">
        <f>ROUND((Source!AT136/100)*((ROUND(SUMIF(SmtRes!AQ27:'SmtRes'!AQ28,"=1",SmtRes!AD27:'SmtRes'!AD28)*Source!I136, 2)+ROUND(SUMIF(SmtRes!AQ27:'SmtRes'!AQ28,"=1",SmtRes!AC27:'SmtRes'!AC28)*Source!I136, 2))), 2)</f>
        <v>298.92</v>
      </c>
      <c r="AE200">
        <f>ROUND((Source!AU136/100)*((ROUND(SUMIF(SmtRes!AQ27:'SmtRes'!AQ28,"=1",SmtRes!AD27:'SmtRes'!AD28)*Source!I136, 2)+ROUND(SUMIF(SmtRes!AQ27:'SmtRes'!AQ28,"=1",SmtRes!AC27:'SmtRes'!AC28)*Source!I136, 2))), 2)</f>
        <v>157.16999999999999</v>
      </c>
      <c r="AN200" s="56">
        <f>M193+M198+M199</f>
        <v>9293.5</v>
      </c>
      <c r="AO200">
        <f>0</f>
        <v>0</v>
      </c>
      <c r="AQ200" t="s">
        <v>495</v>
      </c>
      <c r="AR200" s="56">
        <f>M193</f>
        <v>3747.38</v>
      </c>
      <c r="AT200">
        <f>0</f>
        <v>0</v>
      </c>
      <c r="AV200" t="s">
        <v>495</v>
      </c>
      <c r="AW200">
        <f>0</f>
        <v>0</v>
      </c>
      <c r="AZ200">
        <f>Source!X136</f>
        <v>3634.96</v>
      </c>
      <c r="BA200">
        <f>Source!Y136</f>
        <v>1911.16</v>
      </c>
      <c r="CD200">
        <v>2</v>
      </c>
    </row>
    <row r="202" spans="1:82" ht="15">
      <c r="A202" s="62"/>
      <c r="B202" s="62"/>
      <c r="C202" s="63"/>
      <c r="D202" s="129" t="s">
        <v>501</v>
      </c>
      <c r="E202" s="129"/>
      <c r="F202" s="129"/>
      <c r="G202" s="129"/>
      <c r="H202" s="129"/>
      <c r="I202" s="129"/>
      <c r="J202" s="49"/>
      <c r="K202" s="62"/>
      <c r="L202" s="64"/>
      <c r="M202" s="49">
        <f>M204+M205+M211+M215</f>
        <v>7129.87</v>
      </c>
    </row>
    <row r="203" spans="1:82" ht="14.25">
      <c r="A203" s="59"/>
      <c r="B203" s="59"/>
      <c r="C203" s="61"/>
      <c r="D203" s="128" t="s">
        <v>502</v>
      </c>
      <c r="E203" s="127"/>
      <c r="F203" s="127"/>
      <c r="G203" s="127"/>
      <c r="H203" s="127"/>
      <c r="I203" s="127"/>
      <c r="J203" s="48"/>
      <c r="K203" s="59"/>
      <c r="L203" s="45"/>
      <c r="M203" s="48"/>
    </row>
    <row r="204" spans="1:82" ht="14.25">
      <c r="A204" s="59"/>
      <c r="B204" s="59"/>
      <c r="C204" s="61"/>
      <c r="D204" s="127" t="s">
        <v>503</v>
      </c>
      <c r="E204" s="127"/>
      <c r="F204" s="127"/>
      <c r="G204" s="127"/>
      <c r="H204" s="127"/>
      <c r="I204" s="127"/>
      <c r="J204" s="48"/>
      <c r="K204" s="59"/>
      <c r="L204" s="45"/>
      <c r="M204" s="48">
        <f>SUM(AR173:AR200)</f>
        <v>6588.04</v>
      </c>
    </row>
    <row r="205" spans="1:82" ht="14.25" hidden="1">
      <c r="A205" s="59"/>
      <c r="B205" s="59"/>
      <c r="C205" s="61"/>
      <c r="D205" s="127" t="s">
        <v>504</v>
      </c>
      <c r="E205" s="127"/>
      <c r="F205" s="127"/>
      <c r="G205" s="127"/>
      <c r="H205" s="127"/>
      <c r="I205" s="127"/>
      <c r="J205" s="48"/>
      <c r="K205" s="59"/>
      <c r="L205" s="45"/>
      <c r="M205" s="48">
        <f>M207+M210+M209</f>
        <v>352.43</v>
      </c>
    </row>
    <row r="206" spans="1:82" ht="14.25" hidden="1">
      <c r="A206" s="59"/>
      <c r="B206" s="59"/>
      <c r="C206" s="61"/>
      <c r="D206" s="128" t="s">
        <v>505</v>
      </c>
      <c r="E206" s="127"/>
      <c r="F206" s="127"/>
      <c r="G206" s="127"/>
      <c r="H206" s="127"/>
      <c r="I206" s="127"/>
      <c r="J206" s="48"/>
      <c r="K206" s="59"/>
      <c r="L206" s="45"/>
      <c r="M206" s="48"/>
    </row>
    <row r="207" spans="1:82" ht="14.25">
      <c r="A207" s="59"/>
      <c r="B207" s="59"/>
      <c r="C207" s="61"/>
      <c r="D207" s="127" t="s">
        <v>504</v>
      </c>
      <c r="E207" s="127"/>
      <c r="F207" s="127"/>
      <c r="G207" s="127"/>
      <c r="H207" s="127"/>
      <c r="I207" s="127"/>
      <c r="J207" s="48"/>
      <c r="K207" s="59"/>
      <c r="L207" s="45"/>
      <c r="M207" s="48">
        <f>SUM(AO173:AO200)</f>
        <v>260.10000000000002</v>
      </c>
    </row>
    <row r="208" spans="1:82" ht="14.25" hidden="1">
      <c r="A208" s="59"/>
      <c r="B208" s="59"/>
      <c r="C208" s="61"/>
      <c r="D208" s="128" t="s">
        <v>506</v>
      </c>
      <c r="E208" s="127"/>
      <c r="F208" s="127"/>
      <c r="G208" s="127"/>
      <c r="H208" s="127"/>
      <c r="I208" s="127"/>
      <c r="J208" s="48"/>
      <c r="K208" s="59"/>
      <c r="L208" s="45"/>
      <c r="M208" s="48"/>
    </row>
    <row r="209" spans="1:13" ht="14.25">
      <c r="A209" s="59"/>
      <c r="B209" s="59"/>
      <c r="C209" s="61"/>
      <c r="D209" s="127" t="s">
        <v>526</v>
      </c>
      <c r="E209" s="127"/>
      <c r="F209" s="127"/>
      <c r="G209" s="127"/>
      <c r="H209" s="127"/>
      <c r="I209" s="127"/>
      <c r="J209" s="48"/>
      <c r="K209" s="59"/>
      <c r="L209" s="45"/>
      <c r="M209" s="48">
        <f>SUM(AT173:AT200)</f>
        <v>92.33</v>
      </c>
    </row>
    <row r="210" spans="1:13" ht="14.25" hidden="1">
      <c r="A210" s="59"/>
      <c r="B210" s="59"/>
      <c r="C210" s="61"/>
      <c r="D210" s="127" t="s">
        <v>507</v>
      </c>
      <c r="E210" s="127"/>
      <c r="F210" s="127"/>
      <c r="G210" s="127"/>
      <c r="H210" s="127"/>
      <c r="I210" s="127"/>
      <c r="J210" s="48"/>
      <c r="K210" s="59"/>
      <c r="L210" s="45"/>
      <c r="M210" s="48">
        <f>SUM(AV173:AV200)</f>
        <v>0</v>
      </c>
    </row>
    <row r="211" spans="1:13" ht="14.25">
      <c r="A211" s="59"/>
      <c r="B211" s="59"/>
      <c r="C211" s="61"/>
      <c r="D211" s="127" t="s">
        <v>508</v>
      </c>
      <c r="E211" s="127"/>
      <c r="F211" s="127"/>
      <c r="G211" s="127"/>
      <c r="H211" s="127"/>
      <c r="I211" s="127"/>
      <c r="J211" s="48"/>
      <c r="K211" s="59"/>
      <c r="L211" s="45"/>
      <c r="M211" s="48">
        <f>M213+M214</f>
        <v>189.4</v>
      </c>
    </row>
    <row r="212" spans="1:13" ht="14.25">
      <c r="A212" s="59"/>
      <c r="B212" s="59"/>
      <c r="C212" s="61"/>
      <c r="D212" s="128" t="s">
        <v>505</v>
      </c>
      <c r="E212" s="127"/>
      <c r="F212" s="127"/>
      <c r="G212" s="127"/>
      <c r="H212" s="127"/>
      <c r="I212" s="127"/>
      <c r="J212" s="48"/>
      <c r="K212" s="59"/>
      <c r="L212" s="45"/>
      <c r="M212" s="48"/>
    </row>
    <row r="213" spans="1:13" ht="14.25">
      <c r="A213" s="59"/>
      <c r="B213" s="59"/>
      <c r="C213" s="61"/>
      <c r="D213" s="127" t="s">
        <v>509</v>
      </c>
      <c r="E213" s="127"/>
      <c r="F213" s="127"/>
      <c r="G213" s="127"/>
      <c r="H213" s="127"/>
      <c r="I213" s="127"/>
      <c r="J213" s="48"/>
      <c r="K213" s="59"/>
      <c r="L213" s="45"/>
      <c r="M213" s="48">
        <f>SUM(AW173:AW200)-SUM(BK173:BK200)</f>
        <v>189.4</v>
      </c>
    </row>
    <row r="214" spans="1:13" ht="14.25" hidden="1">
      <c r="A214" s="59"/>
      <c r="B214" s="59"/>
      <c r="C214" s="61"/>
      <c r="D214" s="127" t="s">
        <v>510</v>
      </c>
      <c r="E214" s="127"/>
      <c r="F214" s="127"/>
      <c r="G214" s="127"/>
      <c r="H214" s="127"/>
      <c r="I214" s="127"/>
      <c r="J214" s="48"/>
      <c r="K214" s="59"/>
      <c r="L214" s="45"/>
      <c r="M214" s="48">
        <f>SUM(BC173:BC200)</f>
        <v>0</v>
      </c>
    </row>
    <row r="215" spans="1:13" ht="14.25" hidden="1">
      <c r="A215" s="59"/>
      <c r="B215" s="59"/>
      <c r="C215" s="61"/>
      <c r="D215" s="127" t="s">
        <v>511</v>
      </c>
      <c r="E215" s="127"/>
      <c r="F215" s="127"/>
      <c r="G215" s="127"/>
      <c r="H215" s="127"/>
      <c r="I215" s="127"/>
      <c r="J215" s="48"/>
      <c r="K215" s="59"/>
      <c r="L215" s="45"/>
      <c r="M215" s="48">
        <f>SUM(BB173:BB200)</f>
        <v>0</v>
      </c>
    </row>
    <row r="216" spans="1:13" ht="14.25">
      <c r="A216" s="59"/>
      <c r="B216" s="59"/>
      <c r="C216" s="61"/>
      <c r="D216" s="127" t="s">
        <v>512</v>
      </c>
      <c r="E216" s="127"/>
      <c r="F216" s="127"/>
      <c r="G216" s="127"/>
      <c r="H216" s="127"/>
      <c r="I216" s="127"/>
      <c r="J216" s="48"/>
      <c r="K216" s="59"/>
      <c r="L216" s="45"/>
      <c r="M216" s="48">
        <f>SUM(AR173:AR200)+SUM(AT173:AT200)+SUM(AV173:AV200)</f>
        <v>6680.37</v>
      </c>
    </row>
    <row r="217" spans="1:13" ht="14.25">
      <c r="A217" s="59"/>
      <c r="B217" s="59"/>
      <c r="C217" s="61"/>
      <c r="D217" s="127" t="s">
        <v>513</v>
      </c>
      <c r="E217" s="127"/>
      <c r="F217" s="127"/>
      <c r="G217" s="127"/>
      <c r="H217" s="127"/>
      <c r="I217" s="127"/>
      <c r="J217" s="48"/>
      <c r="K217" s="59"/>
      <c r="L217" s="45"/>
      <c r="M217" s="48">
        <f>SUM(AZ173:AZ200)</f>
        <v>6479.96</v>
      </c>
    </row>
    <row r="218" spans="1:13" ht="14.25">
      <c r="A218" s="59"/>
      <c r="B218" s="59"/>
      <c r="C218" s="61"/>
      <c r="D218" s="127" t="s">
        <v>514</v>
      </c>
      <c r="E218" s="127"/>
      <c r="F218" s="127"/>
      <c r="G218" s="127"/>
      <c r="H218" s="127"/>
      <c r="I218" s="127"/>
      <c r="J218" s="48"/>
      <c r="K218" s="59"/>
      <c r="L218" s="45"/>
      <c r="M218" s="48">
        <f>SUM(BA173:BA200)</f>
        <v>3406.98</v>
      </c>
    </row>
    <row r="219" spans="1:13" ht="14.25" hidden="1">
      <c r="A219" s="59"/>
      <c r="B219" s="59"/>
      <c r="C219" s="61"/>
      <c r="D219" s="127" t="s">
        <v>515</v>
      </c>
      <c r="E219" s="127"/>
      <c r="F219" s="127"/>
      <c r="G219" s="127"/>
      <c r="H219" s="127"/>
      <c r="I219" s="127"/>
      <c r="J219" s="48"/>
      <c r="K219" s="59"/>
      <c r="L219" s="45"/>
      <c r="M219" s="48">
        <f>M221+M222</f>
        <v>0</v>
      </c>
    </row>
    <row r="220" spans="1:13" ht="14.25" hidden="1">
      <c r="A220" s="59"/>
      <c r="B220" s="59"/>
      <c r="C220" s="61"/>
      <c r="D220" s="128" t="s">
        <v>502</v>
      </c>
      <c r="E220" s="127"/>
      <c r="F220" s="127"/>
      <c r="G220" s="127"/>
      <c r="H220" s="127"/>
      <c r="I220" s="127"/>
      <c r="J220" s="48"/>
      <c r="K220" s="59"/>
      <c r="L220" s="45"/>
      <c r="M220" s="48"/>
    </row>
    <row r="221" spans="1:13" ht="14.25" hidden="1">
      <c r="A221" s="59"/>
      <c r="B221" s="59"/>
      <c r="C221" s="61"/>
      <c r="D221" s="127" t="s">
        <v>516</v>
      </c>
      <c r="E221" s="127"/>
      <c r="F221" s="127"/>
      <c r="G221" s="127"/>
      <c r="H221" s="127"/>
      <c r="I221" s="127"/>
      <c r="J221" s="48"/>
      <c r="K221" s="59"/>
      <c r="L221" s="45"/>
      <c r="M221" s="48">
        <f>SUM(BK173:BK200)</f>
        <v>0</v>
      </c>
    </row>
    <row r="222" spans="1:13" ht="14.25" hidden="1">
      <c r="A222" s="59"/>
      <c r="B222" s="59"/>
      <c r="C222" s="61"/>
      <c r="D222" s="127" t="s">
        <v>517</v>
      </c>
      <c r="E222" s="127"/>
      <c r="F222" s="127"/>
      <c r="G222" s="127"/>
      <c r="H222" s="127"/>
      <c r="I222" s="127"/>
      <c r="J222" s="48"/>
      <c r="K222" s="59"/>
      <c r="L222" s="45"/>
      <c r="M222" s="48">
        <f>SUM(BD173:BD200)</f>
        <v>0</v>
      </c>
    </row>
    <row r="223" spans="1:13" ht="14.25" hidden="1">
      <c r="A223" s="59"/>
      <c r="B223" s="59"/>
      <c r="C223" s="61"/>
      <c r="D223" s="127" t="s">
        <v>518</v>
      </c>
      <c r="E223" s="127"/>
      <c r="F223" s="127"/>
      <c r="G223" s="127"/>
      <c r="H223" s="127"/>
      <c r="I223" s="127"/>
      <c r="J223" s="48"/>
      <c r="K223" s="59"/>
      <c r="L223" s="45"/>
      <c r="M223" s="48"/>
    </row>
    <row r="224" spans="1:13" ht="14.25" hidden="1">
      <c r="A224" s="59"/>
      <c r="B224" s="59"/>
      <c r="C224" s="61"/>
      <c r="D224" s="127" t="s">
        <v>519</v>
      </c>
      <c r="E224" s="127"/>
      <c r="F224" s="127"/>
      <c r="G224" s="127"/>
      <c r="H224" s="127"/>
      <c r="I224" s="127"/>
      <c r="J224" s="48"/>
      <c r="K224" s="59"/>
      <c r="L224" s="45"/>
      <c r="M224" s="48">
        <f>SUM(BO173:BO200)</f>
        <v>0</v>
      </c>
    </row>
    <row r="225" spans="1:82" ht="15">
      <c r="A225" s="62"/>
      <c r="B225" s="62"/>
      <c r="C225" s="63"/>
      <c r="D225" s="129" t="s">
        <v>520</v>
      </c>
      <c r="E225" s="129"/>
      <c r="F225" s="129"/>
      <c r="G225" s="129"/>
      <c r="H225" s="129"/>
      <c r="I225" s="129"/>
      <c r="J225" s="49"/>
      <c r="K225" s="62"/>
      <c r="L225" s="64"/>
      <c r="M225" s="49">
        <f>M202+M217+M218+M219+M223+M224</f>
        <v>17016.810000000001</v>
      </c>
    </row>
    <row r="226" spans="1:82" ht="14.25">
      <c r="A226" s="59"/>
      <c r="B226" s="59"/>
      <c r="C226" s="61"/>
      <c r="D226" s="128" t="s">
        <v>521</v>
      </c>
      <c r="E226" s="127"/>
      <c r="F226" s="127"/>
      <c r="G226" s="127"/>
      <c r="H226" s="127"/>
      <c r="I226" s="127"/>
      <c r="J226" s="48"/>
      <c r="K226" s="59"/>
      <c r="L226" s="45"/>
      <c r="M226" s="48"/>
    </row>
    <row r="227" spans="1:82" ht="14.25" hidden="1">
      <c r="A227" s="59"/>
      <c r="B227" s="59"/>
      <c r="C227" s="61"/>
      <c r="D227" s="127" t="s">
        <v>522</v>
      </c>
      <c r="E227" s="127"/>
      <c r="F227" s="127"/>
      <c r="G227" s="127"/>
      <c r="H227" s="127"/>
      <c r="I227" s="127"/>
      <c r="J227" s="48"/>
      <c r="K227" s="59"/>
      <c r="L227" s="45"/>
      <c r="M227" s="48">
        <f>SUM(AX173:AX200)</f>
        <v>0</v>
      </c>
    </row>
    <row r="228" spans="1:82" ht="14.25" hidden="1">
      <c r="A228" s="59"/>
      <c r="B228" s="59"/>
      <c r="C228" s="61"/>
      <c r="D228" s="127" t="s">
        <v>523</v>
      </c>
      <c r="E228" s="127"/>
      <c r="F228" s="127"/>
      <c r="G228" s="127"/>
      <c r="H228" s="127"/>
      <c r="I228" s="127"/>
      <c r="J228" s="48"/>
      <c r="K228" s="59"/>
      <c r="L228" s="45"/>
      <c r="M228" s="48">
        <f>SUM(AY173:AY200)</f>
        <v>0</v>
      </c>
    </row>
    <row r="229" spans="1:82" ht="14.25">
      <c r="A229" s="59"/>
      <c r="B229" s="59"/>
      <c r="C229" s="61"/>
      <c r="D229" s="127" t="s">
        <v>524</v>
      </c>
      <c r="E229" s="127"/>
      <c r="F229" s="127"/>
      <c r="G229" s="130"/>
      <c r="H229" s="47">
        <f>Source!F161</f>
        <v>21.746400000000001</v>
      </c>
      <c r="I229" s="59"/>
      <c r="J229" s="59"/>
      <c r="K229" s="59"/>
      <c r="L229" s="59"/>
      <c r="M229" s="59"/>
    </row>
    <row r="230" spans="1:82" ht="14.25">
      <c r="A230" s="59"/>
      <c r="B230" s="59"/>
      <c r="C230" s="61"/>
      <c r="D230" s="127" t="s">
        <v>525</v>
      </c>
      <c r="E230" s="127"/>
      <c r="F230" s="127"/>
      <c r="G230" s="130"/>
      <c r="H230" s="47">
        <f>Source!F162</f>
        <v>0.26</v>
      </c>
      <c r="I230" s="59"/>
      <c r="J230" s="59"/>
      <c r="K230" s="59"/>
      <c r="L230" s="59"/>
      <c r="M230" s="59"/>
    </row>
    <row r="232" spans="1:82" ht="14.25">
      <c r="D232" s="131" t="str">
        <f>Source!H178</f>
        <v>НДС 20%</v>
      </c>
      <c r="E232" s="131"/>
      <c r="F232" s="131"/>
      <c r="G232" s="131"/>
      <c r="H232" s="131"/>
      <c r="I232" s="131"/>
      <c r="J232" s="131"/>
      <c r="K232" s="131"/>
      <c r="L232" s="131"/>
      <c r="M232" s="57">
        <f>IF(Source!Y178=0, "", Source!Y178)</f>
        <v>3403.36</v>
      </c>
    </row>
    <row r="233" spans="1:82" ht="14.25">
      <c r="D233" s="131" t="str">
        <f>Source!H179</f>
        <v>ИТОГО с НДС</v>
      </c>
      <c r="E233" s="131"/>
      <c r="F233" s="131"/>
      <c r="G233" s="131"/>
      <c r="H233" s="131"/>
      <c r="I233" s="131"/>
      <c r="J233" s="131"/>
      <c r="K233" s="131"/>
      <c r="L233" s="131"/>
      <c r="M233" s="57">
        <f>IF(Source!Y179=0, "", Source!Y179)</f>
        <v>20420.169999999998</v>
      </c>
    </row>
    <row r="235" spans="1:82" ht="16.5">
      <c r="A235" s="110" t="s">
        <v>527</v>
      </c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</row>
    <row r="236" spans="1:82" ht="42.75">
      <c r="A236" s="65" t="s">
        <v>152</v>
      </c>
      <c r="B236" s="50">
        <v>12</v>
      </c>
      <c r="C236" s="50" t="str">
        <f>Source!F185</f>
        <v>цена поставщика</v>
      </c>
      <c r="D236" s="50" t="str">
        <f>Source!G185</f>
        <v>Трехфазный счетчик прямого включения:AD13S.1-BL-Z-R-TX (1-1-1)етчик электрический (в комплекте)</v>
      </c>
      <c r="E236" s="51" t="str">
        <f>Source!H185</f>
        <v>ШТ</v>
      </c>
      <c r="F236" s="52">
        <f>Source!K185</f>
        <v>13</v>
      </c>
      <c r="G236" s="53"/>
      <c r="H236" s="52">
        <f>Source!I185</f>
        <v>13</v>
      </c>
      <c r="I236" s="54">
        <f>Source!AL185</f>
        <v>23300</v>
      </c>
      <c r="J236" s="55"/>
      <c r="K236" s="54"/>
      <c r="L236" s="50"/>
      <c r="M236" s="54">
        <f>Source!P185</f>
        <v>302900</v>
      </c>
    </row>
    <row r="237" spans="1:82" ht="15">
      <c r="D237" s="111" t="s">
        <v>494</v>
      </c>
      <c r="E237" s="111"/>
      <c r="F237" s="111"/>
      <c r="G237" s="111"/>
      <c r="H237" s="111"/>
      <c r="I237" s="111"/>
      <c r="J237" s="112">
        <f>L237/F236</f>
        <v>23300</v>
      </c>
      <c r="K237" s="112"/>
      <c r="L237" s="112">
        <f>M236</f>
        <v>302900</v>
      </c>
      <c r="M237" s="112"/>
      <c r="AD237">
        <f>ROUND((Source!AT185/100)*((ROUND(ROUND(Source!AO185,2)*Source!I185, 2)+ROUND(ROUND(Source!AN185,2)*Source!I185, 2))), 2)</f>
        <v>0</v>
      </c>
      <c r="AE237">
        <f>ROUND((Source!AU185/100)*((ROUND(ROUND(Source!AO185,2)*Source!I185, 2)+ROUND(ROUND(Source!AN185,2)*Source!I185, 2))), 2)</f>
        <v>0</v>
      </c>
      <c r="AN237" s="56">
        <f>M236</f>
        <v>302900</v>
      </c>
      <c r="AO237">
        <f>0</f>
        <v>0</v>
      </c>
      <c r="AQ237" t="s">
        <v>495</v>
      </c>
      <c r="AR237">
        <f>0</f>
        <v>0</v>
      </c>
      <c r="AT237">
        <f>0</f>
        <v>0</v>
      </c>
      <c r="AV237" t="s">
        <v>495</v>
      </c>
      <c r="AW237" s="56">
        <f>M236</f>
        <v>302900</v>
      </c>
      <c r="AZ237">
        <f>Source!X185</f>
        <v>0</v>
      </c>
      <c r="BA237">
        <f>Source!Y185</f>
        <v>0</v>
      </c>
      <c r="CD237">
        <v>1</v>
      </c>
    </row>
    <row r="238" spans="1:82" ht="57">
      <c r="A238" s="65" t="s">
        <v>154</v>
      </c>
      <c r="B238" s="50">
        <v>13</v>
      </c>
      <c r="C238" s="50" t="str">
        <f>Source!F186</f>
        <v>цена поставщика</v>
      </c>
      <c r="D238" s="50" t="str">
        <f>Source!G186</f>
        <v>Провода самонесущие изолированные для воздушных линий электропередачи с алюминиевыми жилами марки:СИП-4 2х16-0,6/1,0</v>
      </c>
      <c r="E238" s="51" t="str">
        <f>Source!H186</f>
        <v>м</v>
      </c>
      <c r="F238" s="52">
        <f>Source!K186</f>
        <v>52</v>
      </c>
      <c r="G238" s="53"/>
      <c r="H238" s="52">
        <f>Source!I186</f>
        <v>52</v>
      </c>
      <c r="I238" s="54">
        <f>Source!AL186</f>
        <v>36.67</v>
      </c>
      <c r="J238" s="55"/>
      <c r="K238" s="54"/>
      <c r="L238" s="50"/>
      <c r="M238" s="54">
        <f>Source!P186</f>
        <v>1906.84</v>
      </c>
    </row>
    <row r="239" spans="1:82" ht="15">
      <c r="D239" s="111" t="s">
        <v>494</v>
      </c>
      <c r="E239" s="111"/>
      <c r="F239" s="111"/>
      <c r="G239" s="111"/>
      <c r="H239" s="111"/>
      <c r="I239" s="111"/>
      <c r="J239" s="112">
        <f>L239/F238</f>
        <v>36.67</v>
      </c>
      <c r="K239" s="112"/>
      <c r="L239" s="112">
        <f>M238</f>
        <v>1906.84</v>
      </c>
      <c r="M239" s="112"/>
      <c r="AD239">
        <f>ROUND((Source!AT186/100)*((ROUND(ROUND(Source!AO186,2)*Source!I186, 2)+ROUND(ROUND(Source!AN186,2)*Source!I186, 2))), 2)</f>
        <v>0</v>
      </c>
      <c r="AE239">
        <f>ROUND((Source!AU186/100)*((ROUND(ROUND(Source!AO186,2)*Source!I186, 2)+ROUND(ROUND(Source!AN186,2)*Source!I186, 2))), 2)</f>
        <v>0</v>
      </c>
      <c r="AN239" s="56">
        <f>M238</f>
        <v>1906.84</v>
      </c>
      <c r="AO239">
        <f>0</f>
        <v>0</v>
      </c>
      <c r="AQ239" t="s">
        <v>495</v>
      </c>
      <c r="AR239">
        <f>0</f>
        <v>0</v>
      </c>
      <c r="AT239">
        <f>0</f>
        <v>0</v>
      </c>
      <c r="AV239" t="s">
        <v>495</v>
      </c>
      <c r="AW239" s="56">
        <f>M238</f>
        <v>1906.84</v>
      </c>
      <c r="AZ239">
        <f>Source!X186</f>
        <v>0</v>
      </c>
      <c r="BA239">
        <f>Source!Y186</f>
        <v>0</v>
      </c>
      <c r="CD239">
        <v>1</v>
      </c>
    </row>
    <row r="240" spans="1:82" ht="71.25">
      <c r="A240" s="65" t="s">
        <v>155</v>
      </c>
      <c r="B240" s="50">
        <v>14</v>
      </c>
      <c r="C240" s="50" t="str">
        <f>Source!F187</f>
        <v>цена поставщика</v>
      </c>
      <c r="D240" s="50" t="str">
        <f>Source!G187</f>
        <v>Лента крепления шириной 20 мм, толщиной 0,7 мм, длиной 50 м из нержавеющей стали (в пластмасовой коробке с кабельной бухтой) F207 (СИП)</v>
      </c>
      <c r="E240" s="51" t="str">
        <f>Source!H187</f>
        <v>ШТ</v>
      </c>
      <c r="F240" s="52">
        <f>Source!K187</f>
        <v>0.52</v>
      </c>
      <c r="G240" s="53"/>
      <c r="H240" s="52">
        <f>Source!I187</f>
        <v>0.52</v>
      </c>
      <c r="I240" s="54">
        <f>Source!AL187</f>
        <v>2416.67</v>
      </c>
      <c r="J240" s="55"/>
      <c r="K240" s="54"/>
      <c r="L240" s="50"/>
      <c r="M240" s="54">
        <f>Source!P187</f>
        <v>1256.67</v>
      </c>
    </row>
    <row r="241" spans="1:82" ht="15">
      <c r="D241" s="111" t="s">
        <v>494</v>
      </c>
      <c r="E241" s="111"/>
      <c r="F241" s="111"/>
      <c r="G241" s="111"/>
      <c r="H241" s="111"/>
      <c r="I241" s="111"/>
      <c r="J241" s="112">
        <f>L241/F240</f>
        <v>2416.6730769230771</v>
      </c>
      <c r="K241" s="112"/>
      <c r="L241" s="112">
        <f>M240</f>
        <v>1256.67</v>
      </c>
      <c r="M241" s="112"/>
      <c r="AD241">
        <f>ROUND((Source!AT187/100)*((ROUND(ROUND(Source!AO187,2)*Source!I187, 2)+ROUND(ROUND(Source!AN187,2)*Source!I187, 2))), 2)</f>
        <v>0</v>
      </c>
      <c r="AE241">
        <f>ROUND((Source!AU187/100)*((ROUND(ROUND(Source!AO187,2)*Source!I187, 2)+ROUND(ROUND(Source!AN187,2)*Source!I187, 2))), 2)</f>
        <v>0</v>
      </c>
      <c r="AN241" s="56">
        <f>M240</f>
        <v>1256.67</v>
      </c>
      <c r="AO241">
        <f>0</f>
        <v>0</v>
      </c>
      <c r="AQ241" t="s">
        <v>495</v>
      </c>
      <c r="AR241">
        <f>0</f>
        <v>0</v>
      </c>
      <c r="AT241">
        <f>0</f>
        <v>0</v>
      </c>
      <c r="AV241" t="s">
        <v>495</v>
      </c>
      <c r="AW241" s="56">
        <f>M240</f>
        <v>1256.67</v>
      </c>
      <c r="AZ241">
        <f>Source!X187</f>
        <v>0</v>
      </c>
      <c r="BA241">
        <f>Source!Y187</f>
        <v>0</v>
      </c>
      <c r="CD241">
        <v>1</v>
      </c>
    </row>
    <row r="242" spans="1:82" ht="14.25">
      <c r="A242" s="65" t="s">
        <v>156</v>
      </c>
      <c r="B242" s="50">
        <v>15</v>
      </c>
      <c r="C242" s="50" t="str">
        <f>Source!F188</f>
        <v>цена поставщика</v>
      </c>
      <c r="D242" s="50" t="str">
        <f>Source!G188</f>
        <v>Скрепа размером 20 мм NC20 (СИП)</v>
      </c>
      <c r="E242" s="51" t="str">
        <f>Source!H188</f>
        <v>ШТ</v>
      </c>
      <c r="F242" s="52">
        <f>Source!K188</f>
        <v>26</v>
      </c>
      <c r="G242" s="53"/>
      <c r="H242" s="52">
        <f>Source!I188</f>
        <v>26</v>
      </c>
      <c r="I242" s="54">
        <f>Source!AL188</f>
        <v>10.83</v>
      </c>
      <c r="J242" s="55"/>
      <c r="K242" s="54"/>
      <c r="L242" s="50"/>
      <c r="M242" s="54">
        <f>Source!P188</f>
        <v>281.58</v>
      </c>
    </row>
    <row r="243" spans="1:82" ht="15">
      <c r="D243" s="111" t="s">
        <v>494</v>
      </c>
      <c r="E243" s="111"/>
      <c r="F243" s="111"/>
      <c r="G243" s="111"/>
      <c r="H243" s="111"/>
      <c r="I243" s="111"/>
      <c r="J243" s="112">
        <f>L243/F242</f>
        <v>10.83</v>
      </c>
      <c r="K243" s="112"/>
      <c r="L243" s="112">
        <f>M242</f>
        <v>281.58</v>
      </c>
      <c r="M243" s="112"/>
      <c r="AD243">
        <f>ROUND((Source!AT188/100)*((ROUND(ROUND(Source!AO188,2)*Source!I188, 2)+ROUND(ROUND(Source!AN188,2)*Source!I188, 2))), 2)</f>
        <v>0</v>
      </c>
      <c r="AE243">
        <f>ROUND((Source!AU188/100)*((ROUND(ROUND(Source!AO188,2)*Source!I188, 2)+ROUND(ROUND(Source!AN188,2)*Source!I188, 2))), 2)</f>
        <v>0</v>
      </c>
      <c r="AN243" s="56">
        <f>M242</f>
        <v>281.58</v>
      </c>
      <c r="AO243">
        <f>0</f>
        <v>0</v>
      </c>
      <c r="AQ243" t="s">
        <v>495</v>
      </c>
      <c r="AR243">
        <f>0</f>
        <v>0</v>
      </c>
      <c r="AT243">
        <f>0</f>
        <v>0</v>
      </c>
      <c r="AV243" t="s">
        <v>495</v>
      </c>
      <c r="AW243" s="56">
        <f>M242</f>
        <v>281.58</v>
      </c>
      <c r="AZ243">
        <f>Source!X188</f>
        <v>0</v>
      </c>
      <c r="BA243">
        <f>Source!Y188</f>
        <v>0</v>
      </c>
      <c r="CD243">
        <v>1</v>
      </c>
    </row>
    <row r="244" spans="1:82" ht="28.5">
      <c r="A244" s="65" t="s">
        <v>157</v>
      </c>
      <c r="B244" s="50">
        <v>16</v>
      </c>
      <c r="C244" s="50" t="str">
        <f>Source!F189</f>
        <v>цена поставщика</v>
      </c>
      <c r="D244" s="50" t="str">
        <f>Source!G189</f>
        <v>Зажим ответвительный с прокалыванием изоляции (СИП):P 645</v>
      </c>
      <c r="E244" s="51" t="str">
        <f>Source!H189</f>
        <v>ШТ</v>
      </c>
      <c r="F244" s="52">
        <f>Source!K189</f>
        <v>104</v>
      </c>
      <c r="G244" s="53"/>
      <c r="H244" s="52">
        <f>Source!I189</f>
        <v>104</v>
      </c>
      <c r="I244" s="54">
        <f>Source!AL189</f>
        <v>151.66999999999999</v>
      </c>
      <c r="J244" s="55"/>
      <c r="K244" s="54"/>
      <c r="L244" s="50"/>
      <c r="M244" s="54">
        <f>Source!P189</f>
        <v>15773.68</v>
      </c>
    </row>
    <row r="245" spans="1:82" ht="15">
      <c r="D245" s="111" t="s">
        <v>494</v>
      </c>
      <c r="E245" s="111"/>
      <c r="F245" s="111"/>
      <c r="G245" s="111"/>
      <c r="H245" s="111"/>
      <c r="I245" s="111"/>
      <c r="J245" s="112">
        <f>L245/F244</f>
        <v>151.67000000000002</v>
      </c>
      <c r="K245" s="112"/>
      <c r="L245" s="112">
        <f>M244</f>
        <v>15773.68</v>
      </c>
      <c r="M245" s="112"/>
      <c r="AD245">
        <f>ROUND((Source!AT189/100)*((ROUND(ROUND(Source!AO189,2)*Source!I189, 2)+ROUND(ROUND(Source!AN189,2)*Source!I189, 2))), 2)</f>
        <v>0</v>
      </c>
      <c r="AE245">
        <f>ROUND((Source!AU189/100)*((ROUND(ROUND(Source!AO189,2)*Source!I189, 2)+ROUND(ROUND(Source!AN189,2)*Source!I189, 2))), 2)</f>
        <v>0</v>
      </c>
      <c r="AN245" s="56">
        <f>M244</f>
        <v>15773.68</v>
      </c>
      <c r="AO245">
        <f>0</f>
        <v>0</v>
      </c>
      <c r="AQ245" t="s">
        <v>495</v>
      </c>
      <c r="AR245">
        <f>0</f>
        <v>0</v>
      </c>
      <c r="AT245">
        <f>0</f>
        <v>0</v>
      </c>
      <c r="AV245" t="s">
        <v>495</v>
      </c>
      <c r="AW245" s="56">
        <f>M244</f>
        <v>15773.68</v>
      </c>
      <c r="AZ245">
        <f>Source!X189</f>
        <v>0</v>
      </c>
      <c r="BA245">
        <f>Source!Y189</f>
        <v>0</v>
      </c>
      <c r="CD245">
        <v>1</v>
      </c>
    </row>
    <row r="247" spans="1:82" ht="15">
      <c r="A247" s="62"/>
      <c r="B247" s="62"/>
      <c r="C247" s="63"/>
      <c r="D247" s="129" t="s">
        <v>501</v>
      </c>
      <c r="E247" s="129"/>
      <c r="F247" s="129"/>
      <c r="G247" s="129"/>
      <c r="H247" s="129"/>
      <c r="I247" s="129"/>
      <c r="J247" s="49"/>
      <c r="K247" s="62"/>
      <c r="L247" s="64"/>
      <c r="M247" s="49">
        <f>M249+M250+M256+M260</f>
        <v>322118.77</v>
      </c>
    </row>
    <row r="248" spans="1:82" ht="14.25">
      <c r="A248" s="59"/>
      <c r="B248" s="59"/>
      <c r="C248" s="61"/>
      <c r="D248" s="128" t="s">
        <v>502</v>
      </c>
      <c r="E248" s="127"/>
      <c r="F248" s="127"/>
      <c r="G248" s="127"/>
      <c r="H248" s="127"/>
      <c r="I248" s="127"/>
      <c r="J248" s="48"/>
      <c r="K248" s="59"/>
      <c r="L248" s="45"/>
      <c r="M248" s="48"/>
    </row>
    <row r="249" spans="1:82" ht="14.25" hidden="1">
      <c r="A249" s="59"/>
      <c r="B249" s="59"/>
      <c r="C249" s="61"/>
      <c r="D249" s="127" t="s">
        <v>503</v>
      </c>
      <c r="E249" s="127"/>
      <c r="F249" s="127"/>
      <c r="G249" s="127"/>
      <c r="H249" s="127"/>
      <c r="I249" s="127"/>
      <c r="J249" s="48"/>
      <c r="K249" s="59"/>
      <c r="L249" s="45"/>
      <c r="M249" s="48">
        <f>SUM(AR235:AR245)</f>
        <v>0</v>
      </c>
    </row>
    <row r="250" spans="1:82" ht="14.25" hidden="1">
      <c r="A250" s="59"/>
      <c r="B250" s="59"/>
      <c r="C250" s="61"/>
      <c r="D250" s="127" t="s">
        <v>504</v>
      </c>
      <c r="E250" s="127"/>
      <c r="F250" s="127"/>
      <c r="G250" s="127"/>
      <c r="H250" s="127"/>
      <c r="I250" s="127"/>
      <c r="J250" s="48"/>
      <c r="K250" s="59"/>
      <c r="L250" s="45"/>
      <c r="M250" s="48">
        <f>M252+M255+M254</f>
        <v>0</v>
      </c>
    </row>
    <row r="251" spans="1:82" ht="14.25" hidden="1">
      <c r="A251" s="59"/>
      <c r="B251" s="59"/>
      <c r="C251" s="61"/>
      <c r="D251" s="128" t="s">
        <v>505</v>
      </c>
      <c r="E251" s="127"/>
      <c r="F251" s="127"/>
      <c r="G251" s="127"/>
      <c r="H251" s="127"/>
      <c r="I251" s="127"/>
      <c r="J251" s="48"/>
      <c r="K251" s="59"/>
      <c r="L251" s="45"/>
      <c r="M251" s="48"/>
    </row>
    <row r="252" spans="1:82" ht="14.25" hidden="1">
      <c r="A252" s="59"/>
      <c r="B252" s="59"/>
      <c r="C252" s="61"/>
      <c r="D252" s="127" t="s">
        <v>504</v>
      </c>
      <c r="E252" s="127"/>
      <c r="F252" s="127"/>
      <c r="G252" s="127"/>
      <c r="H252" s="127"/>
      <c r="I252" s="127"/>
      <c r="J252" s="48"/>
      <c r="K252" s="59"/>
      <c r="L252" s="45"/>
      <c r="M252" s="48">
        <f>SUM(AO235:AO245)</f>
        <v>0</v>
      </c>
    </row>
    <row r="253" spans="1:82" ht="14.25" hidden="1">
      <c r="A253" s="59"/>
      <c r="B253" s="59"/>
      <c r="C253" s="61"/>
      <c r="D253" s="128" t="s">
        <v>506</v>
      </c>
      <c r="E253" s="127"/>
      <c r="F253" s="127"/>
      <c r="G253" s="127"/>
      <c r="H253" s="127"/>
      <c r="I253" s="127"/>
      <c r="J253" s="48"/>
      <c r="K253" s="59"/>
      <c r="L253" s="45"/>
      <c r="M253" s="48"/>
    </row>
    <row r="254" spans="1:82" ht="14.25" hidden="1">
      <c r="A254" s="59"/>
      <c r="B254" s="59"/>
      <c r="C254" s="61"/>
      <c r="D254" s="127" t="s">
        <v>526</v>
      </c>
      <c r="E254" s="127"/>
      <c r="F254" s="127"/>
      <c r="G254" s="127"/>
      <c r="H254" s="127"/>
      <c r="I254" s="127"/>
      <c r="J254" s="48"/>
      <c r="K254" s="59"/>
      <c r="L254" s="45"/>
      <c r="M254" s="48">
        <f>SUM(AT235:AT245)</f>
        <v>0</v>
      </c>
    </row>
    <row r="255" spans="1:82" ht="14.25" hidden="1">
      <c r="A255" s="59"/>
      <c r="B255" s="59"/>
      <c r="C255" s="61"/>
      <c r="D255" s="127" t="s">
        <v>507</v>
      </c>
      <c r="E255" s="127"/>
      <c r="F255" s="127"/>
      <c r="G255" s="127"/>
      <c r="H255" s="127"/>
      <c r="I255" s="127"/>
      <c r="J255" s="48"/>
      <c r="K255" s="59"/>
      <c r="L255" s="45"/>
      <c r="M255" s="48">
        <f>SUM(AV235:AV245)</f>
        <v>0</v>
      </c>
    </row>
    <row r="256" spans="1:82" ht="14.25">
      <c r="A256" s="59"/>
      <c r="B256" s="59"/>
      <c r="C256" s="61"/>
      <c r="D256" s="127" t="s">
        <v>508</v>
      </c>
      <c r="E256" s="127"/>
      <c r="F256" s="127"/>
      <c r="G256" s="127"/>
      <c r="H256" s="127"/>
      <c r="I256" s="127"/>
      <c r="J256" s="48"/>
      <c r="K256" s="59"/>
      <c r="L256" s="45"/>
      <c r="M256" s="48">
        <f>M258+M259</f>
        <v>322118.77</v>
      </c>
    </row>
    <row r="257" spans="1:13" ht="14.25">
      <c r="A257" s="59"/>
      <c r="B257" s="59"/>
      <c r="C257" s="61"/>
      <c r="D257" s="128" t="s">
        <v>505</v>
      </c>
      <c r="E257" s="127"/>
      <c r="F257" s="127"/>
      <c r="G257" s="127"/>
      <c r="H257" s="127"/>
      <c r="I257" s="127"/>
      <c r="J257" s="48"/>
      <c r="K257" s="59"/>
      <c r="L257" s="45"/>
      <c r="M257" s="48"/>
    </row>
    <row r="258" spans="1:13" ht="14.25">
      <c r="A258" s="59"/>
      <c r="B258" s="59"/>
      <c r="C258" s="61"/>
      <c r="D258" s="127" t="s">
        <v>509</v>
      </c>
      <c r="E258" s="127"/>
      <c r="F258" s="127"/>
      <c r="G258" s="127"/>
      <c r="H258" s="127"/>
      <c r="I258" s="127"/>
      <c r="J258" s="48"/>
      <c r="K258" s="59"/>
      <c r="L258" s="45"/>
      <c r="M258" s="48">
        <f>SUM(AW235:AW245)-SUM(BK235:BK245)</f>
        <v>322118.77</v>
      </c>
    </row>
    <row r="259" spans="1:13" ht="14.25" hidden="1">
      <c r="A259" s="59"/>
      <c r="B259" s="59"/>
      <c r="C259" s="61"/>
      <c r="D259" s="127" t="s">
        <v>510</v>
      </c>
      <c r="E259" s="127"/>
      <c r="F259" s="127"/>
      <c r="G259" s="127"/>
      <c r="H259" s="127"/>
      <c r="I259" s="127"/>
      <c r="J259" s="48"/>
      <c r="K259" s="59"/>
      <c r="L259" s="45"/>
      <c r="M259" s="48">
        <f>SUM(BC235:BC245)</f>
        <v>0</v>
      </c>
    </row>
    <row r="260" spans="1:13" ht="14.25" hidden="1">
      <c r="A260" s="59"/>
      <c r="B260" s="59"/>
      <c r="C260" s="61"/>
      <c r="D260" s="127" t="s">
        <v>511</v>
      </c>
      <c r="E260" s="127"/>
      <c r="F260" s="127"/>
      <c r="G260" s="127"/>
      <c r="H260" s="127"/>
      <c r="I260" s="127"/>
      <c r="J260" s="48"/>
      <c r="K260" s="59"/>
      <c r="L260" s="45"/>
      <c r="M260" s="48">
        <f>SUM(BB235:BB245)</f>
        <v>0</v>
      </c>
    </row>
    <row r="261" spans="1:13" ht="14.25" hidden="1">
      <c r="A261" s="59"/>
      <c r="B261" s="59"/>
      <c r="C261" s="61"/>
      <c r="D261" s="127" t="s">
        <v>512</v>
      </c>
      <c r="E261" s="127"/>
      <c r="F261" s="127"/>
      <c r="G261" s="127"/>
      <c r="H261" s="127"/>
      <c r="I261" s="127"/>
      <c r="J261" s="48"/>
      <c r="K261" s="59"/>
      <c r="L261" s="45"/>
      <c r="M261" s="48">
        <f>SUM(AR235:AR245)+SUM(AT235:AT245)+SUM(AV235:AV245)</f>
        <v>0</v>
      </c>
    </row>
    <row r="262" spans="1:13" ht="14.25" hidden="1">
      <c r="A262" s="59"/>
      <c r="B262" s="59"/>
      <c r="C262" s="61"/>
      <c r="D262" s="127" t="s">
        <v>513</v>
      </c>
      <c r="E262" s="127"/>
      <c r="F262" s="127"/>
      <c r="G262" s="127"/>
      <c r="H262" s="127"/>
      <c r="I262" s="127"/>
      <c r="J262" s="48"/>
      <c r="K262" s="59"/>
      <c r="L262" s="45"/>
      <c r="M262" s="48">
        <f>SUM(AZ235:AZ245)</f>
        <v>0</v>
      </c>
    </row>
    <row r="263" spans="1:13" ht="14.25" hidden="1">
      <c r="A263" s="59"/>
      <c r="B263" s="59"/>
      <c r="C263" s="61"/>
      <c r="D263" s="127" t="s">
        <v>514</v>
      </c>
      <c r="E263" s="127"/>
      <c r="F263" s="127"/>
      <c r="G263" s="127"/>
      <c r="H263" s="127"/>
      <c r="I263" s="127"/>
      <c r="J263" s="48"/>
      <c r="K263" s="59"/>
      <c r="L263" s="45"/>
      <c r="M263" s="48">
        <f>SUM(BA235:BA245)</f>
        <v>0</v>
      </c>
    </row>
    <row r="264" spans="1:13" ht="14.25" hidden="1">
      <c r="A264" s="59"/>
      <c r="B264" s="59"/>
      <c r="C264" s="61"/>
      <c r="D264" s="127" t="s">
        <v>515</v>
      </c>
      <c r="E264" s="127"/>
      <c r="F264" s="127"/>
      <c r="G264" s="127"/>
      <c r="H264" s="127"/>
      <c r="I264" s="127"/>
      <c r="J264" s="48"/>
      <c r="K264" s="59"/>
      <c r="L264" s="45"/>
      <c r="M264" s="48">
        <f>M266+M267</f>
        <v>0</v>
      </c>
    </row>
    <row r="265" spans="1:13" ht="14.25" hidden="1">
      <c r="A265" s="59"/>
      <c r="B265" s="59"/>
      <c r="C265" s="61"/>
      <c r="D265" s="128" t="s">
        <v>502</v>
      </c>
      <c r="E265" s="127"/>
      <c r="F265" s="127"/>
      <c r="G265" s="127"/>
      <c r="H265" s="127"/>
      <c r="I265" s="127"/>
      <c r="J265" s="48"/>
      <c r="K265" s="59"/>
      <c r="L265" s="45"/>
      <c r="M265" s="48"/>
    </row>
    <row r="266" spans="1:13" ht="14.25" hidden="1">
      <c r="A266" s="59"/>
      <c r="B266" s="59"/>
      <c r="C266" s="61"/>
      <c r="D266" s="127" t="s">
        <v>516</v>
      </c>
      <c r="E266" s="127"/>
      <c r="F266" s="127"/>
      <c r="G266" s="127"/>
      <c r="H266" s="127"/>
      <c r="I266" s="127"/>
      <c r="J266" s="48"/>
      <c r="K266" s="59"/>
      <c r="L266" s="45"/>
      <c r="M266" s="48">
        <f>SUM(BK235:BK245)</f>
        <v>0</v>
      </c>
    </row>
    <row r="267" spans="1:13" ht="14.25" hidden="1">
      <c r="A267" s="59"/>
      <c r="B267" s="59"/>
      <c r="C267" s="61"/>
      <c r="D267" s="127" t="s">
        <v>517</v>
      </c>
      <c r="E267" s="127"/>
      <c r="F267" s="127"/>
      <c r="G267" s="127"/>
      <c r="H267" s="127"/>
      <c r="I267" s="127"/>
      <c r="J267" s="48"/>
      <c r="K267" s="59"/>
      <c r="L267" s="45"/>
      <c r="M267" s="48">
        <f>SUM(BD235:BD245)</f>
        <v>0</v>
      </c>
    </row>
    <row r="268" spans="1:13" ht="14.25" hidden="1">
      <c r="A268" s="59"/>
      <c r="B268" s="59"/>
      <c r="C268" s="61"/>
      <c r="D268" s="127" t="s">
        <v>518</v>
      </c>
      <c r="E268" s="127"/>
      <c r="F268" s="127"/>
      <c r="G268" s="127"/>
      <c r="H268" s="127"/>
      <c r="I268" s="127"/>
      <c r="J268" s="48"/>
      <c r="K268" s="59"/>
      <c r="L268" s="45"/>
      <c r="M268" s="48"/>
    </row>
    <row r="269" spans="1:13" ht="14.25" hidden="1">
      <c r="A269" s="59"/>
      <c r="B269" s="59"/>
      <c r="C269" s="61"/>
      <c r="D269" s="127" t="s">
        <v>519</v>
      </c>
      <c r="E269" s="127"/>
      <c r="F269" s="127"/>
      <c r="G269" s="127"/>
      <c r="H269" s="127"/>
      <c r="I269" s="127"/>
      <c r="J269" s="48"/>
      <c r="K269" s="59"/>
      <c r="L269" s="45"/>
      <c r="M269" s="48">
        <f>SUM(BO235:BO245)</f>
        <v>0</v>
      </c>
    </row>
    <row r="270" spans="1:13" ht="15">
      <c r="A270" s="62"/>
      <c r="B270" s="62"/>
      <c r="C270" s="63"/>
      <c r="D270" s="129" t="s">
        <v>520</v>
      </c>
      <c r="E270" s="129"/>
      <c r="F270" s="129"/>
      <c r="G270" s="129"/>
      <c r="H270" s="129"/>
      <c r="I270" s="129"/>
      <c r="J270" s="49"/>
      <c r="K270" s="62"/>
      <c r="L270" s="64"/>
      <c r="M270" s="49">
        <f>M247+M262+M263+M264+M268+M269</f>
        <v>322118.77</v>
      </c>
    </row>
    <row r="271" spans="1:13" ht="14.25" hidden="1">
      <c r="A271" s="59"/>
      <c r="B271" s="59"/>
      <c r="C271" s="61"/>
      <c r="D271" s="128" t="s">
        <v>521</v>
      </c>
      <c r="E271" s="127"/>
      <c r="F271" s="127"/>
      <c r="G271" s="127"/>
      <c r="H271" s="127"/>
      <c r="I271" s="127"/>
      <c r="J271" s="48"/>
      <c r="K271" s="59"/>
      <c r="L271" s="45"/>
      <c r="M271" s="48"/>
    </row>
    <row r="272" spans="1:13" ht="14.25" hidden="1">
      <c r="A272" s="59"/>
      <c r="B272" s="59"/>
      <c r="C272" s="61"/>
      <c r="D272" s="127" t="s">
        <v>522</v>
      </c>
      <c r="E272" s="127"/>
      <c r="F272" s="127"/>
      <c r="G272" s="127"/>
      <c r="H272" s="127"/>
      <c r="I272" s="127"/>
      <c r="J272" s="48"/>
      <c r="K272" s="59"/>
      <c r="L272" s="45"/>
      <c r="M272" s="48">
        <f>SUM(AX235:AX245)</f>
        <v>0</v>
      </c>
    </row>
    <row r="273" spans="1:83" ht="14.25" hidden="1">
      <c r="A273" s="59"/>
      <c r="B273" s="59"/>
      <c r="C273" s="61"/>
      <c r="D273" s="127" t="s">
        <v>523</v>
      </c>
      <c r="E273" s="127"/>
      <c r="F273" s="127"/>
      <c r="G273" s="127"/>
      <c r="H273" s="127"/>
      <c r="I273" s="127"/>
      <c r="J273" s="48"/>
      <c r="K273" s="59"/>
      <c r="L273" s="45"/>
      <c r="M273" s="48">
        <f>SUM(AY235:AY245)</f>
        <v>0</v>
      </c>
    </row>
    <row r="274" spans="1:83" ht="14.25" hidden="1" customHeight="1">
      <c r="A274" s="59"/>
      <c r="B274" s="59"/>
      <c r="C274" s="61"/>
      <c r="D274" s="127" t="s">
        <v>524</v>
      </c>
      <c r="E274" s="127"/>
      <c r="F274" s="127"/>
      <c r="G274" s="130"/>
      <c r="H274" s="47">
        <f>Source!F213</f>
        <v>0</v>
      </c>
      <c r="I274" s="59"/>
      <c r="J274" s="59"/>
      <c r="K274" s="59"/>
      <c r="L274" s="59"/>
      <c r="M274" s="59"/>
    </row>
    <row r="275" spans="1:83" ht="14.25" hidden="1" customHeight="1">
      <c r="A275" s="59"/>
      <c r="B275" s="59"/>
      <c r="C275" s="61"/>
      <c r="D275" s="127" t="s">
        <v>525</v>
      </c>
      <c r="E275" s="127"/>
      <c r="F275" s="127"/>
      <c r="G275" s="130"/>
      <c r="H275" s="47">
        <f>Source!F214</f>
        <v>0</v>
      </c>
      <c r="I275" s="59"/>
      <c r="J275" s="59"/>
      <c r="K275" s="59"/>
      <c r="L275" s="59"/>
      <c r="M275" s="59"/>
    </row>
    <row r="277" spans="1:83" ht="14.25">
      <c r="D277" s="131" t="str">
        <f>Source!H230</f>
        <v>НДС 20%</v>
      </c>
      <c r="E277" s="131"/>
      <c r="F277" s="131"/>
      <c r="G277" s="131"/>
      <c r="H277" s="131"/>
      <c r="I277" s="131"/>
      <c r="J277" s="131"/>
      <c r="K277" s="131"/>
      <c r="L277" s="131"/>
      <c r="M277" s="57">
        <f>IF(Source!Y230=0, "", Source!Y230)</f>
        <v>64423.75</v>
      </c>
    </row>
    <row r="278" spans="1:83" ht="14.25">
      <c r="D278" s="131" t="str">
        <f>Source!H231</f>
        <v>ИТОГО с НДС</v>
      </c>
      <c r="E278" s="131"/>
      <c r="F278" s="131"/>
      <c r="G278" s="131"/>
      <c r="H278" s="131"/>
      <c r="I278" s="131"/>
      <c r="J278" s="131"/>
      <c r="K278" s="131"/>
      <c r="L278" s="131"/>
      <c r="M278" s="57">
        <f>IF(Source!Y231=0, "", Source!Y231)</f>
        <v>386542.52</v>
      </c>
    </row>
    <row r="280" spans="1:83" ht="16.5">
      <c r="A280" s="110" t="s">
        <v>532</v>
      </c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</row>
    <row r="281" spans="1:83" ht="57">
      <c r="A281" s="40" t="s">
        <v>159</v>
      </c>
      <c r="B281" s="42">
        <v>17</v>
      </c>
      <c r="C281" s="42" t="s">
        <v>533</v>
      </c>
      <c r="D281" s="42" t="str">
        <f>Source!G237</f>
        <v>Блок управления шкафного исполнения или распределительный пункт (шкаф), устанавливаемый: на стене, высота и ширина до 1200х1000 мм</v>
      </c>
      <c r="E281" s="43" t="str">
        <f>Source!H237</f>
        <v>ШТ</v>
      </c>
      <c r="F281" s="47">
        <f>Source!K237</f>
        <v>1</v>
      </c>
      <c r="G281" s="41"/>
      <c r="H281" s="47">
        <f>Source!I237</f>
        <v>1</v>
      </c>
      <c r="I281" s="48"/>
      <c r="J281" s="46"/>
      <c r="K281" s="48"/>
      <c r="L281" s="42"/>
      <c r="M281" s="48"/>
    </row>
    <row r="282" spans="1:83" ht="15">
      <c r="A282" s="41"/>
      <c r="B282" s="41"/>
      <c r="C282" s="45">
        <v>1</v>
      </c>
      <c r="D282" s="41" t="s">
        <v>483</v>
      </c>
      <c r="E282" s="43" t="s">
        <v>321</v>
      </c>
      <c r="F282" s="47"/>
      <c r="G282" s="45"/>
      <c r="H282" s="47">
        <f>Source!U237</f>
        <v>3.09</v>
      </c>
      <c r="I282" s="45"/>
      <c r="J282" s="45"/>
      <c r="K282" s="45"/>
      <c r="L282" s="45"/>
      <c r="M282" s="49">
        <f>SUM(M283:M283)-SUMIF(CE283:CE283, 1, M283:M283)</f>
        <v>964.57</v>
      </c>
    </row>
    <row r="283" spans="1:83" ht="28.5">
      <c r="A283" s="42"/>
      <c r="B283" s="42"/>
      <c r="C283" s="42" t="s">
        <v>319</v>
      </c>
      <c r="D283" s="42" t="s">
        <v>320</v>
      </c>
      <c r="E283" s="43" t="s">
        <v>321</v>
      </c>
      <c r="F283" s="47">
        <v>3.09</v>
      </c>
      <c r="G283" s="41"/>
      <c r="H283" s="47">
        <f>SmtRes!CX29</f>
        <v>3.09</v>
      </c>
      <c r="I283" s="48"/>
      <c r="J283" s="46"/>
      <c r="K283" s="48">
        <f>SmtRes!CZ29</f>
        <v>312.16000000000003</v>
      </c>
      <c r="L283" s="42"/>
      <c r="M283" s="48">
        <f>SmtRes!DI29</f>
        <v>964.57</v>
      </c>
    </row>
    <row r="284" spans="1:83" ht="15">
      <c r="A284" s="41"/>
      <c r="B284" s="41"/>
      <c r="C284" s="45">
        <v>2</v>
      </c>
      <c r="D284" s="41" t="s">
        <v>484</v>
      </c>
      <c r="E284" s="43"/>
      <c r="F284" s="47"/>
      <c r="G284" s="45"/>
      <c r="H284" s="47"/>
      <c r="I284" s="45"/>
      <c r="J284" s="45"/>
      <c r="K284" s="45"/>
      <c r="L284" s="45"/>
      <c r="M284" s="49">
        <f>SUM(M285:M290)-SUMIF(CE285:CE290, 1, M285:M290)</f>
        <v>537.79999999999995</v>
      </c>
    </row>
    <row r="285" spans="1:83" ht="15">
      <c r="A285" s="41"/>
      <c r="B285" s="41"/>
      <c r="C285" s="45"/>
      <c r="D285" s="41" t="s">
        <v>487</v>
      </c>
      <c r="E285" s="43" t="s">
        <v>321</v>
      </c>
      <c r="F285" s="47"/>
      <c r="G285" s="45"/>
      <c r="H285" s="47">
        <f>Source!V237</f>
        <v>1.51</v>
      </c>
      <c r="I285" s="45"/>
      <c r="J285" s="45"/>
      <c r="K285" s="45"/>
      <c r="L285" s="45"/>
      <c r="M285" s="49">
        <f>SUMIF(CE286:CE290, 1, M286:M290)</f>
        <v>184.67000000000002</v>
      </c>
      <c r="CE285">
        <v>1</v>
      </c>
    </row>
    <row r="286" spans="1:83" ht="28.5">
      <c r="A286" s="42"/>
      <c r="B286" s="42"/>
      <c r="C286" s="42" t="s">
        <v>324</v>
      </c>
      <c r="D286" s="42" t="s">
        <v>326</v>
      </c>
      <c r="E286" s="43" t="s">
        <v>327</v>
      </c>
      <c r="F286" s="47">
        <v>0.26</v>
      </c>
      <c r="G286" s="41"/>
      <c r="H286" s="47">
        <f>SmtRes!CX31</f>
        <v>0.26</v>
      </c>
      <c r="I286" s="48"/>
      <c r="J286" s="46"/>
      <c r="K286" s="48">
        <f>SmtRes!CZ31</f>
        <v>1442.85</v>
      </c>
      <c r="L286" s="42"/>
      <c r="M286" s="48">
        <f>SmtRes!DG31</f>
        <v>375.14</v>
      </c>
    </row>
    <row r="287" spans="1:83" ht="28.5">
      <c r="A287" s="42"/>
      <c r="B287" s="42"/>
      <c r="C287" s="42" t="s">
        <v>328</v>
      </c>
      <c r="D287" s="42" t="s">
        <v>485</v>
      </c>
      <c r="E287" s="43" t="s">
        <v>321</v>
      </c>
      <c r="F287" s="47">
        <f>SmtRes!DO31*SmtRes!AT31</f>
        <v>0.26</v>
      </c>
      <c r="G287" s="41"/>
      <c r="H287" s="47">
        <f>SmtRes!DO31*SmtRes!CX31</f>
        <v>0.26</v>
      </c>
      <c r="I287" s="48"/>
      <c r="J287" s="46"/>
      <c r="K287" s="48">
        <f>ROUND(SmtRes!AG31/SmtRes!DO31, 2)</f>
        <v>407.16</v>
      </c>
      <c r="L287" s="42"/>
      <c r="M287" s="48">
        <f>SmtRes!DH31</f>
        <v>105.86</v>
      </c>
      <c r="CE287">
        <v>1</v>
      </c>
    </row>
    <row r="288" spans="1:83" ht="28.5">
      <c r="A288" s="42"/>
      <c r="B288" s="42"/>
      <c r="C288" s="42" t="s">
        <v>329</v>
      </c>
      <c r="D288" s="42" t="s">
        <v>331</v>
      </c>
      <c r="E288" s="43" t="s">
        <v>327</v>
      </c>
      <c r="F288" s="47">
        <v>0.26</v>
      </c>
      <c r="G288" s="41"/>
      <c r="H288" s="47">
        <f>SmtRes!CX32</f>
        <v>0.26</v>
      </c>
      <c r="I288" s="48"/>
      <c r="J288" s="46"/>
      <c r="K288" s="48">
        <f>SmtRes!CZ32</f>
        <v>557.94000000000005</v>
      </c>
      <c r="L288" s="42"/>
      <c r="M288" s="48">
        <f>SmtRes!DG32</f>
        <v>145.06</v>
      </c>
    </row>
    <row r="289" spans="1:83" ht="28.5">
      <c r="A289" s="42"/>
      <c r="B289" s="42"/>
      <c r="C289" s="42" t="s">
        <v>332</v>
      </c>
      <c r="D289" s="42" t="s">
        <v>486</v>
      </c>
      <c r="E289" s="43" t="s">
        <v>321</v>
      </c>
      <c r="F289" s="47">
        <f>SmtRes!DO32*SmtRes!AT32</f>
        <v>0.26</v>
      </c>
      <c r="G289" s="41"/>
      <c r="H289" s="47">
        <f>SmtRes!DO32*SmtRes!CX32</f>
        <v>0.26</v>
      </c>
      <c r="I289" s="48"/>
      <c r="J289" s="46"/>
      <c r="K289" s="48">
        <f>ROUND(SmtRes!AG32/SmtRes!DO32, 2)</f>
        <v>303.11</v>
      </c>
      <c r="L289" s="42"/>
      <c r="M289" s="48">
        <f>SmtRes!DH32</f>
        <v>78.81</v>
      </c>
      <c r="CE289">
        <v>1</v>
      </c>
    </row>
    <row r="290" spans="1:83" ht="42.75">
      <c r="A290" s="42"/>
      <c r="B290" s="42"/>
      <c r="C290" s="42" t="s">
        <v>338</v>
      </c>
      <c r="D290" s="42" t="s">
        <v>340</v>
      </c>
      <c r="E290" s="43" t="s">
        <v>327</v>
      </c>
      <c r="F290" s="47">
        <v>0.99</v>
      </c>
      <c r="G290" s="41"/>
      <c r="H290" s="47">
        <f>SmtRes!CX33</f>
        <v>0.99</v>
      </c>
      <c r="I290" s="48"/>
      <c r="J290" s="46"/>
      <c r="K290" s="48">
        <f>SmtRes!CZ33</f>
        <v>17.78</v>
      </c>
      <c r="L290" s="42"/>
      <c r="M290" s="48">
        <f>SmtRes!DG33</f>
        <v>17.600000000000001</v>
      </c>
    </row>
    <row r="291" spans="1:83" ht="15">
      <c r="A291" s="41"/>
      <c r="B291" s="41"/>
      <c r="C291" s="45">
        <v>4</v>
      </c>
      <c r="D291" s="41" t="s">
        <v>488</v>
      </c>
      <c r="E291" s="43"/>
      <c r="F291" s="47"/>
      <c r="G291" s="45"/>
      <c r="H291" s="47"/>
      <c r="I291" s="45"/>
      <c r="J291" s="45"/>
      <c r="K291" s="45"/>
      <c r="L291" s="45"/>
      <c r="M291" s="49">
        <f>SUM(M292:M295)-SUMIF(CE292:CE295, 1, M292:M295)</f>
        <v>2997.86</v>
      </c>
    </row>
    <row r="292" spans="1:83" ht="57">
      <c r="A292" s="42"/>
      <c r="B292" s="42"/>
      <c r="C292" s="42" t="s">
        <v>341</v>
      </c>
      <c r="D292" s="42" t="s">
        <v>343</v>
      </c>
      <c r="E292" s="43" t="s">
        <v>344</v>
      </c>
      <c r="F292" s="47">
        <v>0.25</v>
      </c>
      <c r="G292" s="41"/>
      <c r="H292" s="47">
        <f>SmtRes!CX34</f>
        <v>0.25</v>
      </c>
      <c r="I292" s="48">
        <f>SmtRes!CZ34</f>
        <v>155.63</v>
      </c>
      <c r="J292" s="46">
        <f>SmtRes!AI34</f>
        <v>1.03</v>
      </c>
      <c r="K292" s="48">
        <f>ROUND(I292*J292, 2)</f>
        <v>160.30000000000001</v>
      </c>
      <c r="L292" s="42"/>
      <c r="M292" s="48">
        <f>SmtRes!DF34</f>
        <v>40.08</v>
      </c>
    </row>
    <row r="293" spans="1:83" ht="28.5">
      <c r="A293" s="42"/>
      <c r="B293" s="42"/>
      <c r="C293" s="42" t="s">
        <v>345</v>
      </c>
      <c r="D293" s="42" t="s">
        <v>347</v>
      </c>
      <c r="E293" s="43" t="s">
        <v>344</v>
      </c>
      <c r="F293" s="47">
        <v>0.17</v>
      </c>
      <c r="G293" s="41"/>
      <c r="H293" s="47">
        <f>SmtRes!CX35</f>
        <v>0.17</v>
      </c>
      <c r="I293" s="48">
        <f>SmtRes!CZ35</f>
        <v>174.93</v>
      </c>
      <c r="J293" s="46">
        <f>SmtRes!AI35</f>
        <v>1.1100000000000001</v>
      </c>
      <c r="K293" s="48">
        <f>ROUND(I293*J293, 2)</f>
        <v>194.17</v>
      </c>
      <c r="L293" s="42"/>
      <c r="M293" s="48">
        <f>SmtRes!DF35</f>
        <v>33.01</v>
      </c>
    </row>
    <row r="294" spans="1:83" ht="42.75">
      <c r="A294" s="42"/>
      <c r="B294" s="42"/>
      <c r="C294" s="42" t="s">
        <v>358</v>
      </c>
      <c r="D294" s="42" t="s">
        <v>360</v>
      </c>
      <c r="E294" s="43" t="s">
        <v>37</v>
      </c>
      <c r="F294" s="47">
        <v>2.5000000000000001E-2</v>
      </c>
      <c r="G294" s="41"/>
      <c r="H294" s="47">
        <f>SmtRes!CX36</f>
        <v>2.5000000000000001E-2</v>
      </c>
      <c r="I294" s="48">
        <f>SmtRes!CZ36</f>
        <v>105278.81</v>
      </c>
      <c r="J294" s="46">
        <f>SmtRes!AI36</f>
        <v>1.1100000000000001</v>
      </c>
      <c r="K294" s="48">
        <f>ROUND(I294*J294, 2)</f>
        <v>116859.48</v>
      </c>
      <c r="L294" s="42"/>
      <c r="M294" s="48">
        <f>SmtRes!DF36</f>
        <v>2921.49</v>
      </c>
    </row>
    <row r="295" spans="1:83" ht="28.5">
      <c r="A295" s="42"/>
      <c r="B295" s="42"/>
      <c r="C295" s="42" t="s">
        <v>363</v>
      </c>
      <c r="D295" s="50" t="s">
        <v>365</v>
      </c>
      <c r="E295" s="51" t="s">
        <v>344</v>
      </c>
      <c r="F295" s="52">
        <v>0.03</v>
      </c>
      <c r="G295" s="53"/>
      <c r="H295" s="52">
        <f>SmtRes!CX37</f>
        <v>0.03</v>
      </c>
      <c r="I295" s="54">
        <f>SmtRes!CZ37</f>
        <v>79.88</v>
      </c>
      <c r="J295" s="55">
        <f>SmtRes!AI37</f>
        <v>1.37</v>
      </c>
      <c r="K295" s="54">
        <f>ROUND(I295*J295, 2)</f>
        <v>109.44</v>
      </c>
      <c r="L295" s="50"/>
      <c r="M295" s="54">
        <f>SmtRes!DF37</f>
        <v>3.28</v>
      </c>
    </row>
    <row r="296" spans="1:83" ht="15">
      <c r="A296" s="42"/>
      <c r="B296" s="42"/>
      <c r="C296" s="42"/>
      <c r="D296" s="58" t="s">
        <v>489</v>
      </c>
      <c r="E296" s="43"/>
      <c r="F296" s="47"/>
      <c r="G296" s="41"/>
      <c r="H296" s="47"/>
      <c r="I296" s="48"/>
      <c r="J296" s="46"/>
      <c r="K296" s="48"/>
      <c r="L296" s="42"/>
      <c r="M296" s="48">
        <f>M282+M284+M285+M291</f>
        <v>4684.8999999999996</v>
      </c>
    </row>
    <row r="297" spans="1:83" ht="57">
      <c r="A297" s="40" t="s">
        <v>534</v>
      </c>
      <c r="B297" s="42" t="s">
        <v>163</v>
      </c>
      <c r="C297" s="42" t="str">
        <f>Source!F238</f>
        <v>421/пр_2020_п.75_пп.а</v>
      </c>
      <c r="D297" s="42" t="str">
        <f>Source!G238</f>
        <v>Сметная стоимость вспомогательных ненормируемых материальных ресурсов, не учтенная в сметной норме, 2%</v>
      </c>
      <c r="E297" s="43" t="str">
        <f>Source!H238</f>
        <v>%</v>
      </c>
      <c r="F297" s="47">
        <f>SmtRes!AT38</f>
        <v>2</v>
      </c>
      <c r="G297" s="41"/>
      <c r="H297" s="47">
        <f>Source!I238</f>
        <v>2</v>
      </c>
      <c r="I297" s="48"/>
      <c r="J297" s="46"/>
      <c r="K297" s="48"/>
      <c r="L297" s="42"/>
      <c r="M297" s="48">
        <f>Source!P238</f>
        <v>19.29</v>
      </c>
      <c r="AD297">
        <f>ROUND((Source!AT238/100)*((ROUND(0*Source!I238, 2)+ROUND(0*Source!I238, 2))), 2)</f>
        <v>0</v>
      </c>
      <c r="AE297">
        <f>ROUND((Source!AU238/100)*((ROUND(0*Source!I238, 2)+ROUND(0*Source!I238, 2))), 2)</f>
        <v>0</v>
      </c>
      <c r="AN297">
        <f>M297</f>
        <v>19.29</v>
      </c>
      <c r="AW297">
        <f>M297</f>
        <v>19.29</v>
      </c>
      <c r="AZ297">
        <f>Source!X238</f>
        <v>0</v>
      </c>
      <c r="BA297">
        <f>Source!Y238</f>
        <v>0</v>
      </c>
      <c r="CD297">
        <v>4</v>
      </c>
    </row>
    <row r="298" spans="1:83" ht="14.25">
      <c r="A298" s="42"/>
      <c r="B298" s="42"/>
      <c r="C298" s="42"/>
      <c r="D298" s="42" t="s">
        <v>491</v>
      </c>
      <c r="E298" s="43"/>
      <c r="F298" s="47"/>
      <c r="G298" s="41"/>
      <c r="H298" s="47"/>
      <c r="I298" s="48"/>
      <c r="J298" s="46"/>
      <c r="K298" s="48"/>
      <c r="L298" s="42"/>
      <c r="M298" s="48">
        <f>SUM(AR281:AR301)+SUM(AS281:AS301)+SUM(AT281:AT301)+SUM(AU281:AU301)+SUM(AV281:AV301)</f>
        <v>1149.24</v>
      </c>
    </row>
    <row r="299" spans="1:83" ht="28.5">
      <c r="A299" s="42"/>
      <c r="B299" s="42"/>
      <c r="C299" s="42" t="s">
        <v>25</v>
      </c>
      <c r="D299" s="42" t="s">
        <v>492</v>
      </c>
      <c r="E299" s="43" t="s">
        <v>30</v>
      </c>
      <c r="F299" s="47">
        <f>Source!BZ237</f>
        <v>97</v>
      </c>
      <c r="G299" s="41"/>
      <c r="H299" s="47">
        <f>Source!AT237</f>
        <v>97</v>
      </c>
      <c r="I299" s="48"/>
      <c r="J299" s="46"/>
      <c r="K299" s="48"/>
      <c r="L299" s="42"/>
      <c r="M299" s="48">
        <f>SUM(AZ281:AZ301)</f>
        <v>1114.76</v>
      </c>
    </row>
    <row r="300" spans="1:83" ht="28.5">
      <c r="A300" s="50"/>
      <c r="B300" s="50"/>
      <c r="C300" s="50" t="s">
        <v>26</v>
      </c>
      <c r="D300" s="50" t="s">
        <v>493</v>
      </c>
      <c r="E300" s="51" t="s">
        <v>30</v>
      </c>
      <c r="F300" s="52">
        <f>Source!CA237</f>
        <v>51</v>
      </c>
      <c r="G300" s="53"/>
      <c r="H300" s="52">
        <f>Source!AU237</f>
        <v>51</v>
      </c>
      <c r="I300" s="54"/>
      <c r="J300" s="55"/>
      <c r="K300" s="54"/>
      <c r="L300" s="50"/>
      <c r="M300" s="54">
        <f>SUM(BA281:BA301)</f>
        <v>586.11</v>
      </c>
    </row>
    <row r="301" spans="1:83" ht="15">
      <c r="D301" s="111" t="s">
        <v>494</v>
      </c>
      <c r="E301" s="111"/>
      <c r="F301" s="111"/>
      <c r="G301" s="111"/>
      <c r="H301" s="111"/>
      <c r="I301" s="111"/>
      <c r="J301" s="112">
        <f>L301/F281</f>
        <v>6405.0599999999995</v>
      </c>
      <c r="K301" s="112"/>
      <c r="L301" s="112">
        <f>M282+M284+M291+M299+M300+M285+SUM(M297:M297)</f>
        <v>6405.0599999999995</v>
      </c>
      <c r="M301" s="112"/>
      <c r="AD301">
        <f>ROUND((Source!AT237/100)*((ROUND(SUMIF(SmtRes!AQ29:'SmtRes'!AQ38,"=1",SmtRes!AD29:'SmtRes'!AD38)*Source!I237, 2)+ROUND(SUMIF(SmtRes!AQ29:'SmtRes'!AQ38,"=1",SmtRes!AC29:'SmtRes'!AC38)*Source!I237, 2))), 2)</f>
        <v>991.76</v>
      </c>
      <c r="AE301">
        <f>ROUND((Source!AU237/100)*((ROUND(SUMIF(SmtRes!AQ29:'SmtRes'!AQ38,"=1",SmtRes!AD29:'SmtRes'!AD38)*Source!I237, 2)+ROUND(SUMIF(SmtRes!AQ29:'SmtRes'!AQ38,"=1",SmtRes!AC29:'SmtRes'!AC38)*Source!I237, 2))), 2)</f>
        <v>521.44000000000005</v>
      </c>
      <c r="AN301" s="56">
        <f>M282+M284+M291+M299+M300+M285</f>
        <v>6385.7699999999995</v>
      </c>
      <c r="AO301" s="56">
        <f>M284</f>
        <v>537.79999999999995</v>
      </c>
      <c r="AQ301" t="s">
        <v>495</v>
      </c>
      <c r="AR301" s="56">
        <f>M282</f>
        <v>964.57</v>
      </c>
      <c r="AT301" s="56">
        <f>M285</f>
        <v>184.67000000000002</v>
      </c>
      <c r="AV301" t="s">
        <v>495</v>
      </c>
      <c r="AW301" s="56">
        <f>M291</f>
        <v>2997.86</v>
      </c>
      <c r="AZ301">
        <f>Source!X237</f>
        <v>1114.76</v>
      </c>
      <c r="BA301">
        <f>Source!Y237</f>
        <v>586.11</v>
      </c>
      <c r="CD301">
        <v>2</v>
      </c>
    </row>
    <row r="302" spans="1:83" ht="57">
      <c r="A302" s="40" t="s">
        <v>164</v>
      </c>
      <c r="B302" s="42">
        <v>18</v>
      </c>
      <c r="C302" s="42" t="s">
        <v>535</v>
      </c>
      <c r="D302" s="42" t="str">
        <f>Source!G239</f>
        <v>Настройка простых сетевых трактов: конфигурация и настройка сетевых компонентов (мост, маршрутизатор, модем и т.п.)</v>
      </c>
      <c r="E302" s="43" t="str">
        <f>Source!H239</f>
        <v>ШТ</v>
      </c>
      <c r="F302" s="47">
        <f>Source!K239</f>
        <v>1</v>
      </c>
      <c r="G302" s="41"/>
      <c r="H302" s="47">
        <f>Source!I239</f>
        <v>1</v>
      </c>
      <c r="I302" s="48"/>
      <c r="J302" s="46"/>
      <c r="K302" s="48"/>
      <c r="L302" s="42"/>
      <c r="M302" s="48"/>
    </row>
    <row r="303" spans="1:83" ht="15">
      <c r="A303" s="41"/>
      <c r="B303" s="41"/>
      <c r="C303" s="45">
        <v>1</v>
      </c>
      <c r="D303" s="41" t="s">
        <v>483</v>
      </c>
      <c r="E303" s="43" t="s">
        <v>321</v>
      </c>
      <c r="F303" s="47"/>
      <c r="G303" s="45"/>
      <c r="H303" s="47">
        <f>Source!U239</f>
        <v>32</v>
      </c>
      <c r="I303" s="45"/>
      <c r="J303" s="45"/>
      <c r="K303" s="45"/>
      <c r="L303" s="45"/>
      <c r="M303" s="49">
        <f>SUM(M304:M305)-SUMIF(CE304:CE305, 1, M304:M305)</f>
        <v>14874.880000000001</v>
      </c>
    </row>
    <row r="304" spans="1:83" ht="14.25">
      <c r="A304" s="42"/>
      <c r="B304" s="42"/>
      <c r="C304" s="42" t="s">
        <v>366</v>
      </c>
      <c r="D304" s="42" t="s">
        <v>367</v>
      </c>
      <c r="E304" s="43" t="s">
        <v>368</v>
      </c>
      <c r="F304" s="47">
        <v>16</v>
      </c>
      <c r="G304" s="41"/>
      <c r="H304" s="47">
        <f>SmtRes!CX39</f>
        <v>16</v>
      </c>
      <c r="I304" s="48"/>
      <c r="J304" s="46"/>
      <c r="K304" s="48">
        <f>SmtRes!CZ39</f>
        <v>486.33</v>
      </c>
      <c r="L304" s="42"/>
      <c r="M304" s="48">
        <f>SmtRes!DI39</f>
        <v>7781.28</v>
      </c>
    </row>
    <row r="305" spans="1:83" ht="14.25">
      <c r="A305" s="42"/>
      <c r="B305" s="42"/>
      <c r="C305" s="42" t="s">
        <v>369</v>
      </c>
      <c r="D305" s="50" t="s">
        <v>370</v>
      </c>
      <c r="E305" s="51" t="s">
        <v>368</v>
      </c>
      <c r="F305" s="52">
        <v>16</v>
      </c>
      <c r="G305" s="53"/>
      <c r="H305" s="52">
        <f>SmtRes!CX40</f>
        <v>16</v>
      </c>
      <c r="I305" s="54"/>
      <c r="J305" s="55"/>
      <c r="K305" s="54">
        <f>SmtRes!CZ40</f>
        <v>443.35</v>
      </c>
      <c r="L305" s="50"/>
      <c r="M305" s="54">
        <f>SmtRes!DI40</f>
        <v>7093.6</v>
      </c>
    </row>
    <row r="306" spans="1:83" ht="15">
      <c r="A306" s="42"/>
      <c r="B306" s="42"/>
      <c r="C306" s="42"/>
      <c r="D306" s="58" t="s">
        <v>489</v>
      </c>
      <c r="E306" s="43"/>
      <c r="F306" s="47"/>
      <c r="G306" s="41"/>
      <c r="H306" s="47"/>
      <c r="I306" s="48"/>
      <c r="J306" s="46"/>
      <c r="K306" s="48"/>
      <c r="L306" s="42"/>
      <c r="M306" s="48">
        <f>M303</f>
        <v>14874.880000000001</v>
      </c>
    </row>
    <row r="307" spans="1:83" ht="57">
      <c r="A307" s="40" t="s">
        <v>536</v>
      </c>
      <c r="B307" s="42" t="s">
        <v>173</v>
      </c>
      <c r="C307" s="42" t="str">
        <f>Source!F240</f>
        <v>421/пр_2020_п.75_пп.а</v>
      </c>
      <c r="D307" s="42" t="str">
        <f>Source!G240</f>
        <v>Сметная стоимость вспомогательных ненормируемых материальных ресурсов, не учтенная в сметной норме, 2%</v>
      </c>
      <c r="E307" s="43" t="str">
        <f>Source!H240</f>
        <v>%</v>
      </c>
      <c r="F307" s="47">
        <f>SmtRes!AT41</f>
        <v>2</v>
      </c>
      <c r="G307" s="41"/>
      <c r="H307" s="47">
        <f>Source!I240</f>
        <v>2</v>
      </c>
      <c r="I307" s="48"/>
      <c r="J307" s="46"/>
      <c r="K307" s="48"/>
      <c r="L307" s="42"/>
      <c r="M307" s="48">
        <f>Source!P240</f>
        <v>297.5</v>
      </c>
      <c r="AD307">
        <f>ROUND((Source!AT240/100)*((ROUND(0*Source!I240, 2)+ROUND(0*Source!I240, 2))), 2)</f>
        <v>0</v>
      </c>
      <c r="AE307">
        <f>ROUND((Source!AU240/100)*((ROUND(0*Source!I240, 2)+ROUND(0*Source!I240, 2))), 2)</f>
        <v>0</v>
      </c>
      <c r="AN307">
        <f>M307</f>
        <v>297.5</v>
      </c>
      <c r="AW307">
        <f>M307</f>
        <v>297.5</v>
      </c>
      <c r="AZ307">
        <f>Source!X240</f>
        <v>0</v>
      </c>
      <c r="BA307">
        <f>Source!Y240</f>
        <v>0</v>
      </c>
      <c r="CD307">
        <v>4</v>
      </c>
    </row>
    <row r="308" spans="1:83" ht="14.25">
      <c r="A308" s="42"/>
      <c r="B308" s="42"/>
      <c r="C308" s="42"/>
      <c r="D308" s="42" t="s">
        <v>491</v>
      </c>
      <c r="E308" s="43"/>
      <c r="F308" s="47"/>
      <c r="G308" s="41"/>
      <c r="H308" s="47"/>
      <c r="I308" s="48"/>
      <c r="J308" s="46"/>
      <c r="K308" s="48"/>
      <c r="L308" s="42"/>
      <c r="M308" s="48">
        <f>SUM(AR302:AR311)+SUM(AS302:AS311)+SUM(AT302:AT311)+SUM(AU302:AU311)+SUM(AV302:AV311)</f>
        <v>14874.880000000001</v>
      </c>
    </row>
    <row r="309" spans="1:83" ht="28.5">
      <c r="A309" s="42"/>
      <c r="B309" s="42"/>
      <c r="C309" s="42" t="s">
        <v>170</v>
      </c>
      <c r="D309" s="42" t="s">
        <v>537</v>
      </c>
      <c r="E309" s="43" t="s">
        <v>30</v>
      </c>
      <c r="F309" s="47">
        <f>Source!BZ239</f>
        <v>90</v>
      </c>
      <c r="G309" s="41"/>
      <c r="H309" s="47">
        <f>Source!AT239</f>
        <v>90</v>
      </c>
      <c r="I309" s="48"/>
      <c r="J309" s="46"/>
      <c r="K309" s="48"/>
      <c r="L309" s="42"/>
      <c r="M309" s="48">
        <f>SUM(AZ302:AZ311)</f>
        <v>13387.39</v>
      </c>
    </row>
    <row r="310" spans="1:83" ht="28.5">
      <c r="A310" s="50"/>
      <c r="B310" s="50"/>
      <c r="C310" s="50" t="s">
        <v>171</v>
      </c>
      <c r="D310" s="50" t="s">
        <v>538</v>
      </c>
      <c r="E310" s="51" t="s">
        <v>30</v>
      </c>
      <c r="F310" s="52">
        <f>Source!CA239</f>
        <v>46</v>
      </c>
      <c r="G310" s="53"/>
      <c r="H310" s="52">
        <f>Source!AU239</f>
        <v>46</v>
      </c>
      <c r="I310" s="54"/>
      <c r="J310" s="55"/>
      <c r="K310" s="54"/>
      <c r="L310" s="50"/>
      <c r="M310" s="54">
        <f>SUM(BA302:BA311)</f>
        <v>6842.44</v>
      </c>
    </row>
    <row r="311" spans="1:83" ht="15">
      <c r="D311" s="111" t="s">
        <v>494</v>
      </c>
      <c r="E311" s="111"/>
      <c r="F311" s="111"/>
      <c r="G311" s="111"/>
      <c r="H311" s="111"/>
      <c r="I311" s="111"/>
      <c r="J311" s="112">
        <f>L311/F302</f>
        <v>35402.21</v>
      </c>
      <c r="K311" s="112"/>
      <c r="L311" s="112">
        <f>M303+M309+M310+SUM(M307:M307)</f>
        <v>35402.21</v>
      </c>
      <c r="M311" s="112"/>
      <c r="AD311">
        <f>ROUND((Source!AT239/100)*((ROUND(SUMIF(SmtRes!AQ39:'SmtRes'!AQ41,"=1",SmtRes!AD39:'SmtRes'!AD41)*Source!I239, 2)+ROUND(SUMIF(SmtRes!AQ39:'SmtRes'!AQ41,"=1",SmtRes!AC39:'SmtRes'!AC41)*Source!I239, 2))), 2)</f>
        <v>836.71</v>
      </c>
      <c r="AE311">
        <f>ROUND((Source!AU239/100)*((ROUND(SUMIF(SmtRes!AQ39:'SmtRes'!AQ41,"=1",SmtRes!AD39:'SmtRes'!AD41)*Source!I239, 2)+ROUND(SUMIF(SmtRes!AQ39:'SmtRes'!AQ41,"=1",SmtRes!AC39:'SmtRes'!AC41)*Source!I239, 2))), 2)</f>
        <v>427.65</v>
      </c>
      <c r="AN311" s="56">
        <f>M303+M309+M310</f>
        <v>35104.71</v>
      </c>
      <c r="AO311">
        <f>0</f>
        <v>0</v>
      </c>
      <c r="AQ311" t="s">
        <v>495</v>
      </c>
      <c r="AR311" s="56">
        <f>M303</f>
        <v>14874.880000000001</v>
      </c>
      <c r="AT311">
        <f>0</f>
        <v>0</v>
      </c>
      <c r="AV311" t="s">
        <v>495</v>
      </c>
      <c r="AW311">
        <f>0</f>
        <v>0</v>
      </c>
      <c r="AZ311">
        <f>Source!X239</f>
        <v>13387.39</v>
      </c>
      <c r="BA311">
        <f>Source!Y239</f>
        <v>6842.44</v>
      </c>
      <c r="CD311">
        <v>2</v>
      </c>
    </row>
    <row r="312" spans="1:83" ht="28.5">
      <c r="A312" s="40" t="s">
        <v>174</v>
      </c>
      <c r="B312" s="42">
        <v>19</v>
      </c>
      <c r="C312" s="42" t="s">
        <v>529</v>
      </c>
      <c r="D312" s="42" t="str">
        <f>Source!G241</f>
        <v>Счетчики, устанавливаемые на готовом основании: трехфазные</v>
      </c>
      <c r="E312" s="43" t="str">
        <f>Source!H241</f>
        <v>ШТ</v>
      </c>
      <c r="F312" s="47">
        <f>Source!K241</f>
        <v>4</v>
      </c>
      <c r="G312" s="41"/>
      <c r="H312" s="47">
        <f>Source!I241</f>
        <v>4</v>
      </c>
      <c r="I312" s="48"/>
      <c r="J312" s="46"/>
      <c r="K312" s="48"/>
      <c r="L312" s="42"/>
      <c r="M312" s="48"/>
    </row>
    <row r="313" spans="1:83" ht="15">
      <c r="A313" s="41"/>
      <c r="B313" s="41"/>
      <c r="C313" s="45">
        <v>1</v>
      </c>
      <c r="D313" s="41" t="s">
        <v>483</v>
      </c>
      <c r="E313" s="43" t="s">
        <v>321</v>
      </c>
      <c r="F313" s="47"/>
      <c r="G313" s="45"/>
      <c r="H313" s="47">
        <f>Source!U241</f>
        <v>2.8</v>
      </c>
      <c r="I313" s="45"/>
      <c r="J313" s="45"/>
      <c r="K313" s="45"/>
      <c r="L313" s="45"/>
      <c r="M313" s="49">
        <f>SUM(M314:M314)-SUMIF(CE314:CE314, 1, M314:M314)</f>
        <v>874.05</v>
      </c>
    </row>
    <row r="314" spans="1:83" ht="28.5">
      <c r="A314" s="42"/>
      <c r="B314" s="42"/>
      <c r="C314" s="42" t="s">
        <v>319</v>
      </c>
      <c r="D314" s="42" t="s">
        <v>320</v>
      </c>
      <c r="E314" s="43" t="s">
        <v>321</v>
      </c>
      <c r="F314" s="47">
        <v>0.7</v>
      </c>
      <c r="G314" s="41"/>
      <c r="H314" s="47">
        <f>SmtRes!CX42</f>
        <v>2.8</v>
      </c>
      <c r="I314" s="48"/>
      <c r="J314" s="46"/>
      <c r="K314" s="48">
        <f>SmtRes!CZ42</f>
        <v>312.16000000000003</v>
      </c>
      <c r="L314" s="42"/>
      <c r="M314" s="48">
        <f>SmtRes!DI42</f>
        <v>874.05</v>
      </c>
    </row>
    <row r="315" spans="1:83" ht="15">
      <c r="A315" s="41"/>
      <c r="B315" s="41"/>
      <c r="C315" s="45">
        <v>2</v>
      </c>
      <c r="D315" s="41" t="s">
        <v>484</v>
      </c>
      <c r="E315" s="43"/>
      <c r="F315" s="47"/>
      <c r="G315" s="45"/>
      <c r="H315" s="47"/>
      <c r="I315" s="45"/>
      <c r="J315" s="45"/>
      <c r="K315" s="45"/>
      <c r="L315" s="45"/>
      <c r="M315" s="49">
        <f>SUM(M316:M320)-SUMIF(CE316:CE320, 1, M316:M320)</f>
        <v>80.03</v>
      </c>
    </row>
    <row r="316" spans="1:83" ht="15">
      <c r="A316" s="41"/>
      <c r="B316" s="41"/>
      <c r="C316" s="45"/>
      <c r="D316" s="41" t="s">
        <v>487</v>
      </c>
      <c r="E316" s="43" t="s">
        <v>321</v>
      </c>
      <c r="F316" s="47"/>
      <c r="G316" s="45"/>
      <c r="H316" s="47">
        <f>Source!V241</f>
        <v>0.08</v>
      </c>
      <c r="I316" s="45"/>
      <c r="J316" s="45"/>
      <c r="K316" s="45"/>
      <c r="L316" s="45"/>
      <c r="M316" s="49">
        <f>SUMIF(CE317:CE320, 1, M317:M320)</f>
        <v>28.409999999999997</v>
      </c>
      <c r="CE316">
        <v>1</v>
      </c>
    </row>
    <row r="317" spans="1:83" ht="28.5">
      <c r="A317" s="42"/>
      <c r="B317" s="42"/>
      <c r="C317" s="42" t="s">
        <v>324</v>
      </c>
      <c r="D317" s="42" t="s">
        <v>326</v>
      </c>
      <c r="E317" s="43" t="s">
        <v>327</v>
      </c>
      <c r="F317" s="47">
        <v>0.01</v>
      </c>
      <c r="G317" s="41"/>
      <c r="H317" s="47">
        <f>SmtRes!CX44</f>
        <v>0.04</v>
      </c>
      <c r="I317" s="48"/>
      <c r="J317" s="46"/>
      <c r="K317" s="48">
        <f>SmtRes!CZ44</f>
        <v>1442.85</v>
      </c>
      <c r="L317" s="42"/>
      <c r="M317" s="48">
        <f>SmtRes!DG44</f>
        <v>57.71</v>
      </c>
    </row>
    <row r="318" spans="1:83" ht="28.5">
      <c r="A318" s="42"/>
      <c r="B318" s="42"/>
      <c r="C318" s="42" t="s">
        <v>328</v>
      </c>
      <c r="D318" s="42" t="s">
        <v>485</v>
      </c>
      <c r="E318" s="43" t="s">
        <v>321</v>
      </c>
      <c r="F318" s="47">
        <f>SmtRes!DO44*SmtRes!AT44</f>
        <v>0.01</v>
      </c>
      <c r="G318" s="41"/>
      <c r="H318" s="47">
        <f>SmtRes!DO44*SmtRes!CX44</f>
        <v>0.04</v>
      </c>
      <c r="I318" s="48"/>
      <c r="J318" s="46"/>
      <c r="K318" s="48">
        <f>ROUND(SmtRes!AG44/SmtRes!DO44, 2)</f>
        <v>407.16</v>
      </c>
      <c r="L318" s="42"/>
      <c r="M318" s="48">
        <f>SmtRes!DH44</f>
        <v>16.29</v>
      </c>
      <c r="CE318">
        <v>1</v>
      </c>
    </row>
    <row r="319" spans="1:83" ht="28.5">
      <c r="A319" s="42"/>
      <c r="B319" s="42"/>
      <c r="C319" s="42" t="s">
        <v>329</v>
      </c>
      <c r="D319" s="42" t="s">
        <v>331</v>
      </c>
      <c r="E319" s="43" t="s">
        <v>327</v>
      </c>
      <c r="F319" s="47">
        <v>0.01</v>
      </c>
      <c r="G319" s="41"/>
      <c r="H319" s="47">
        <f>SmtRes!CX45</f>
        <v>0.04</v>
      </c>
      <c r="I319" s="48"/>
      <c r="J319" s="46"/>
      <c r="K319" s="48">
        <f>SmtRes!CZ45</f>
        <v>557.94000000000005</v>
      </c>
      <c r="L319" s="42"/>
      <c r="M319" s="48">
        <f>SmtRes!DG45</f>
        <v>22.32</v>
      </c>
    </row>
    <row r="320" spans="1:83" ht="28.5">
      <c r="A320" s="42"/>
      <c r="B320" s="42"/>
      <c r="C320" s="42" t="s">
        <v>332</v>
      </c>
      <c r="D320" s="42" t="s">
        <v>486</v>
      </c>
      <c r="E320" s="43" t="s">
        <v>321</v>
      </c>
      <c r="F320" s="47">
        <f>SmtRes!DO45*SmtRes!AT45</f>
        <v>0.01</v>
      </c>
      <c r="G320" s="41"/>
      <c r="H320" s="47">
        <f>SmtRes!DO45*SmtRes!CX45</f>
        <v>0.04</v>
      </c>
      <c r="I320" s="48"/>
      <c r="J320" s="46"/>
      <c r="K320" s="48">
        <f>ROUND(SmtRes!AG45/SmtRes!DO45, 2)</f>
        <v>303.11</v>
      </c>
      <c r="L320" s="42"/>
      <c r="M320" s="48">
        <f>SmtRes!DH45</f>
        <v>12.12</v>
      </c>
      <c r="CE320">
        <v>1</v>
      </c>
    </row>
    <row r="321" spans="1:83" ht="15">
      <c r="A321" s="41"/>
      <c r="B321" s="41"/>
      <c r="C321" s="45">
        <v>4</v>
      </c>
      <c r="D321" s="41" t="s">
        <v>488</v>
      </c>
      <c r="E321" s="43"/>
      <c r="F321" s="47"/>
      <c r="G321" s="45"/>
      <c r="H321" s="47"/>
      <c r="I321" s="45"/>
      <c r="J321" s="45"/>
      <c r="K321" s="45"/>
      <c r="L321" s="45"/>
      <c r="M321" s="49">
        <f>SUM(M322:M322)-SUMIF(CE322:CE322, 1, M322:M322)</f>
        <v>17.73</v>
      </c>
    </row>
    <row r="322" spans="1:83" ht="28.5">
      <c r="A322" s="42"/>
      <c r="B322" s="42"/>
      <c r="C322" s="42" t="s">
        <v>333</v>
      </c>
      <c r="D322" s="50" t="s">
        <v>335</v>
      </c>
      <c r="E322" s="51" t="s">
        <v>37</v>
      </c>
      <c r="F322" s="52">
        <v>3.0000000000000001E-5</v>
      </c>
      <c r="G322" s="53"/>
      <c r="H322" s="52">
        <f>SmtRes!CX46</f>
        <v>1.2E-4</v>
      </c>
      <c r="I322" s="54">
        <f>SmtRes!CZ46</f>
        <v>127406</v>
      </c>
      <c r="J322" s="55">
        <f>SmtRes!AI46</f>
        <v>1.1599999999999999</v>
      </c>
      <c r="K322" s="54">
        <f>ROUND(I322*J322, 2)</f>
        <v>147790.96</v>
      </c>
      <c r="L322" s="50"/>
      <c r="M322" s="54">
        <f>SmtRes!DF46</f>
        <v>17.73</v>
      </c>
    </row>
    <row r="323" spans="1:83" ht="15">
      <c r="A323" s="42"/>
      <c r="B323" s="42"/>
      <c r="C323" s="42"/>
      <c r="D323" s="58" t="s">
        <v>489</v>
      </c>
      <c r="E323" s="43"/>
      <c r="F323" s="47"/>
      <c r="G323" s="41"/>
      <c r="H323" s="47"/>
      <c r="I323" s="48"/>
      <c r="J323" s="46"/>
      <c r="K323" s="48"/>
      <c r="L323" s="42"/>
      <c r="M323" s="48">
        <f>M313+M315+M316+M321</f>
        <v>1000.2199999999999</v>
      </c>
    </row>
    <row r="324" spans="1:83" ht="57">
      <c r="A324" s="40" t="s">
        <v>539</v>
      </c>
      <c r="B324" s="42" t="s">
        <v>175</v>
      </c>
      <c r="C324" s="42" t="str">
        <f>Source!F242</f>
        <v>421/пр_2020_п.75_пп.а</v>
      </c>
      <c r="D324" s="42" t="str">
        <f>Source!G242</f>
        <v>Сметная стоимость вспомогательных ненормируемых материальных ресурсов, не учтенная в сметной норме, 2%</v>
      </c>
      <c r="E324" s="43" t="str">
        <f>Source!H242</f>
        <v>%</v>
      </c>
      <c r="F324" s="47">
        <f>SmtRes!AT47</f>
        <v>2</v>
      </c>
      <c r="G324" s="41"/>
      <c r="H324" s="47">
        <f>Source!I242</f>
        <v>2</v>
      </c>
      <c r="I324" s="48"/>
      <c r="J324" s="46"/>
      <c r="K324" s="48"/>
      <c r="L324" s="42"/>
      <c r="M324" s="48">
        <f>Source!P242</f>
        <v>17.48</v>
      </c>
      <c r="AD324">
        <f>ROUND((Source!AT242/100)*((ROUND(0*Source!I242, 2)+ROUND(0*Source!I242, 2))), 2)</f>
        <v>0</v>
      </c>
      <c r="AE324">
        <f>ROUND((Source!AU242/100)*((ROUND(0*Source!I242, 2)+ROUND(0*Source!I242, 2))), 2)</f>
        <v>0</v>
      </c>
      <c r="AN324">
        <f>M324</f>
        <v>17.48</v>
      </c>
      <c r="AW324">
        <f>M324</f>
        <v>17.48</v>
      </c>
      <c r="AZ324">
        <f>Source!X242</f>
        <v>0</v>
      </c>
      <c r="BA324">
        <f>Source!Y242</f>
        <v>0</v>
      </c>
      <c r="CD324">
        <v>4</v>
      </c>
    </row>
    <row r="325" spans="1:83" ht="14.25">
      <c r="A325" s="42"/>
      <c r="B325" s="42"/>
      <c r="C325" s="42"/>
      <c r="D325" s="42" t="s">
        <v>491</v>
      </c>
      <c r="E325" s="43"/>
      <c r="F325" s="47"/>
      <c r="G325" s="41"/>
      <c r="H325" s="47"/>
      <c r="I325" s="48"/>
      <c r="J325" s="46"/>
      <c r="K325" s="48"/>
      <c r="L325" s="42"/>
      <c r="M325" s="48">
        <f>SUM(AR312:AR328)+SUM(AS312:AS328)+SUM(AT312:AT328)+SUM(AU312:AU328)+SUM(AV312:AV328)</f>
        <v>902.45999999999992</v>
      </c>
    </row>
    <row r="326" spans="1:83" ht="28.5">
      <c r="A326" s="42"/>
      <c r="B326" s="42"/>
      <c r="C326" s="42" t="s">
        <v>25</v>
      </c>
      <c r="D326" s="42" t="s">
        <v>492</v>
      </c>
      <c r="E326" s="43" t="s">
        <v>30</v>
      </c>
      <c r="F326" s="47">
        <f>Source!BZ241</f>
        <v>97</v>
      </c>
      <c r="G326" s="41"/>
      <c r="H326" s="47">
        <f>Source!AT241</f>
        <v>97</v>
      </c>
      <c r="I326" s="48"/>
      <c r="J326" s="46"/>
      <c r="K326" s="48"/>
      <c r="L326" s="42"/>
      <c r="M326" s="48">
        <f>SUM(AZ312:AZ328)</f>
        <v>875.39</v>
      </c>
    </row>
    <row r="327" spans="1:83" ht="28.5">
      <c r="A327" s="50"/>
      <c r="B327" s="50"/>
      <c r="C327" s="50" t="s">
        <v>26</v>
      </c>
      <c r="D327" s="50" t="s">
        <v>493</v>
      </c>
      <c r="E327" s="51" t="s">
        <v>30</v>
      </c>
      <c r="F327" s="52">
        <f>Source!CA241</f>
        <v>51</v>
      </c>
      <c r="G327" s="53"/>
      <c r="H327" s="52">
        <f>Source!AU241</f>
        <v>51</v>
      </c>
      <c r="I327" s="54"/>
      <c r="J327" s="55"/>
      <c r="K327" s="54"/>
      <c r="L327" s="50"/>
      <c r="M327" s="54">
        <f>SUM(BA312:BA328)</f>
        <v>460.25</v>
      </c>
    </row>
    <row r="328" spans="1:83" ht="15">
      <c r="D328" s="111" t="s">
        <v>494</v>
      </c>
      <c r="E328" s="111"/>
      <c r="F328" s="111"/>
      <c r="G328" s="111"/>
      <c r="H328" s="111"/>
      <c r="I328" s="111"/>
      <c r="J328" s="112">
        <f>L328/F312</f>
        <v>588.33499999999992</v>
      </c>
      <c r="K328" s="112"/>
      <c r="L328" s="112">
        <f>M313+M315+M321+M326+M327+M316+SUM(M324:M324)</f>
        <v>2353.3399999999997</v>
      </c>
      <c r="M328" s="112"/>
      <c r="AD328">
        <f>ROUND((Source!AT241/100)*((ROUND(SUMIF(SmtRes!AQ42:'SmtRes'!AQ47,"=1",SmtRes!AD42:'SmtRes'!AD47)*Source!I241, 2)+ROUND(SUMIF(SmtRes!AQ42:'SmtRes'!AQ47,"=1",SmtRes!AC42:'SmtRes'!AC47)*Source!I241, 2))), 2)</f>
        <v>3967.03</v>
      </c>
      <c r="AE328">
        <f>ROUND((Source!AU241/100)*((ROUND(SUMIF(SmtRes!AQ42:'SmtRes'!AQ47,"=1",SmtRes!AD42:'SmtRes'!AD47)*Source!I241, 2)+ROUND(SUMIF(SmtRes!AQ42:'SmtRes'!AQ47,"=1",SmtRes!AC42:'SmtRes'!AC47)*Source!I241, 2))), 2)</f>
        <v>2085.7600000000002</v>
      </c>
      <c r="AN328" s="56">
        <f>M313+M315+M321+M326+M327+M316</f>
        <v>2335.8599999999997</v>
      </c>
      <c r="AO328" s="56">
        <f>M315</f>
        <v>80.03</v>
      </c>
      <c r="AQ328" t="s">
        <v>495</v>
      </c>
      <c r="AR328" s="56">
        <f>M313</f>
        <v>874.05</v>
      </c>
      <c r="AT328" s="56">
        <f>M316</f>
        <v>28.409999999999997</v>
      </c>
      <c r="AV328" t="s">
        <v>495</v>
      </c>
      <c r="AW328" s="56">
        <f>M321</f>
        <v>17.73</v>
      </c>
      <c r="AZ328">
        <f>Source!X241</f>
        <v>875.39</v>
      </c>
      <c r="BA328">
        <f>Source!Y241</f>
        <v>460.25</v>
      </c>
      <c r="CD328">
        <v>2</v>
      </c>
    </row>
    <row r="329" spans="1:83" ht="28.5">
      <c r="A329" s="40" t="s">
        <v>176</v>
      </c>
      <c r="B329" s="42">
        <v>20</v>
      </c>
      <c r="C329" s="42" t="s">
        <v>540</v>
      </c>
      <c r="D329" s="42" t="str">
        <f>Source!G243</f>
        <v>Трансформатор тока напряжением: до 10 кВ</v>
      </c>
      <c r="E329" s="43" t="str">
        <f>Source!H243</f>
        <v>ШТ</v>
      </c>
      <c r="F329" s="47">
        <f>Source!K243</f>
        <v>12</v>
      </c>
      <c r="G329" s="41"/>
      <c r="H329" s="47">
        <f>Source!I243</f>
        <v>12</v>
      </c>
      <c r="I329" s="48"/>
      <c r="J329" s="46"/>
      <c r="K329" s="48"/>
      <c r="L329" s="42"/>
      <c r="M329" s="48"/>
    </row>
    <row r="330" spans="1:83" ht="15">
      <c r="A330" s="41"/>
      <c r="B330" s="41"/>
      <c r="C330" s="45">
        <v>1</v>
      </c>
      <c r="D330" s="41" t="s">
        <v>483</v>
      </c>
      <c r="E330" s="43" t="s">
        <v>321</v>
      </c>
      <c r="F330" s="47"/>
      <c r="G330" s="45"/>
      <c r="H330" s="47">
        <f>Source!U243</f>
        <v>25.8</v>
      </c>
      <c r="I330" s="45"/>
      <c r="J330" s="45"/>
      <c r="K330" s="45"/>
      <c r="L330" s="45"/>
      <c r="M330" s="49">
        <f>SUM(M331:M331)-SUMIF(CE331:CE331, 1, M331:M331)</f>
        <v>7820.24</v>
      </c>
    </row>
    <row r="331" spans="1:83" ht="28.5">
      <c r="A331" s="42"/>
      <c r="B331" s="42"/>
      <c r="C331" s="42" t="s">
        <v>336</v>
      </c>
      <c r="D331" s="42" t="s">
        <v>337</v>
      </c>
      <c r="E331" s="43" t="s">
        <v>321</v>
      </c>
      <c r="F331" s="47">
        <v>2.15</v>
      </c>
      <c r="G331" s="41"/>
      <c r="H331" s="47">
        <f>SmtRes!CX48</f>
        <v>25.8</v>
      </c>
      <c r="I331" s="48"/>
      <c r="J331" s="46"/>
      <c r="K331" s="48">
        <f>SmtRes!CZ48</f>
        <v>303.11</v>
      </c>
      <c r="L331" s="42"/>
      <c r="M331" s="48">
        <f>SmtRes!DI48</f>
        <v>7820.24</v>
      </c>
    </row>
    <row r="332" spans="1:83" ht="15">
      <c r="A332" s="41"/>
      <c r="B332" s="41"/>
      <c r="C332" s="45">
        <v>2</v>
      </c>
      <c r="D332" s="41" t="s">
        <v>484</v>
      </c>
      <c r="E332" s="43"/>
      <c r="F332" s="47"/>
      <c r="G332" s="45"/>
      <c r="H332" s="47"/>
      <c r="I332" s="45"/>
      <c r="J332" s="45"/>
      <c r="K332" s="45"/>
      <c r="L332" s="45"/>
      <c r="M332" s="49">
        <f>SUM(M333:M339)-SUMIF(CE333:CE339, 1, M333:M339)</f>
        <v>857.59999999999968</v>
      </c>
    </row>
    <row r="333" spans="1:83" ht="15">
      <c r="A333" s="41"/>
      <c r="B333" s="41"/>
      <c r="C333" s="45"/>
      <c r="D333" s="41" t="s">
        <v>487</v>
      </c>
      <c r="E333" s="43" t="s">
        <v>321</v>
      </c>
      <c r="F333" s="47"/>
      <c r="G333" s="45"/>
      <c r="H333" s="47">
        <f>Source!V243</f>
        <v>1.0799999999999998</v>
      </c>
      <c r="I333" s="45"/>
      <c r="J333" s="45"/>
      <c r="K333" s="45"/>
      <c r="L333" s="45"/>
      <c r="M333" s="49">
        <f>SUMIF(CE334:CE339, 1, M334:M339)</f>
        <v>362.91999999999996</v>
      </c>
      <c r="CE333">
        <v>1</v>
      </c>
    </row>
    <row r="334" spans="1:83" ht="28.5">
      <c r="A334" s="42"/>
      <c r="B334" s="42"/>
      <c r="C334" s="42" t="s">
        <v>324</v>
      </c>
      <c r="D334" s="42" t="s">
        <v>326</v>
      </c>
      <c r="E334" s="43" t="s">
        <v>327</v>
      </c>
      <c r="F334" s="47">
        <v>3.5000000000000003E-2</v>
      </c>
      <c r="G334" s="41"/>
      <c r="H334" s="47">
        <f>SmtRes!CX50</f>
        <v>0.42</v>
      </c>
      <c r="I334" s="48"/>
      <c r="J334" s="46"/>
      <c r="K334" s="48">
        <f>SmtRes!CZ50</f>
        <v>1442.85</v>
      </c>
      <c r="L334" s="42"/>
      <c r="M334" s="48">
        <f>SmtRes!DG50</f>
        <v>606</v>
      </c>
    </row>
    <row r="335" spans="1:83" ht="28.5">
      <c r="A335" s="42"/>
      <c r="B335" s="42"/>
      <c r="C335" s="42" t="s">
        <v>328</v>
      </c>
      <c r="D335" s="42" t="s">
        <v>485</v>
      </c>
      <c r="E335" s="43" t="s">
        <v>321</v>
      </c>
      <c r="F335" s="47">
        <f>SmtRes!DO50*SmtRes!AT50</f>
        <v>3.5000000000000003E-2</v>
      </c>
      <c r="G335" s="41"/>
      <c r="H335" s="47">
        <f>SmtRes!DO50*SmtRes!CX50</f>
        <v>0.42</v>
      </c>
      <c r="I335" s="48"/>
      <c r="J335" s="46"/>
      <c r="K335" s="48">
        <f>ROUND(SmtRes!AG50/SmtRes!DO50, 2)</f>
        <v>407.16</v>
      </c>
      <c r="L335" s="42"/>
      <c r="M335" s="48">
        <f>SmtRes!DH50</f>
        <v>171.01</v>
      </c>
      <c r="CE335">
        <v>1</v>
      </c>
    </row>
    <row r="336" spans="1:83" ht="28.5">
      <c r="A336" s="42"/>
      <c r="B336" s="42"/>
      <c r="C336" s="42" t="s">
        <v>371</v>
      </c>
      <c r="D336" s="42" t="s">
        <v>373</v>
      </c>
      <c r="E336" s="43" t="s">
        <v>327</v>
      </c>
      <c r="F336" s="47">
        <v>0.02</v>
      </c>
      <c r="G336" s="41"/>
      <c r="H336" s="47">
        <f>SmtRes!CX51</f>
        <v>0.24</v>
      </c>
      <c r="I336" s="48">
        <f>SmtRes!CZ51</f>
        <v>55.78</v>
      </c>
      <c r="J336" s="46">
        <f>SmtRes!AJ51</f>
        <v>1.29</v>
      </c>
      <c r="K336" s="48">
        <f>ROUND(I336*J336, 2)</f>
        <v>71.959999999999994</v>
      </c>
      <c r="L336" s="42"/>
      <c r="M336" s="48">
        <f>SmtRes!DG51</f>
        <v>17.27</v>
      </c>
    </row>
    <row r="337" spans="1:83" ht="28.5">
      <c r="A337" s="42"/>
      <c r="B337" s="42"/>
      <c r="C337" s="42" t="s">
        <v>374</v>
      </c>
      <c r="D337" s="42" t="s">
        <v>541</v>
      </c>
      <c r="E337" s="43" t="s">
        <v>321</v>
      </c>
      <c r="F337" s="47">
        <f>SmtRes!DO51*SmtRes!AT51</f>
        <v>0.02</v>
      </c>
      <c r="G337" s="41"/>
      <c r="H337" s="47">
        <f>SmtRes!DO51*SmtRes!CX51</f>
        <v>0.24</v>
      </c>
      <c r="I337" s="48"/>
      <c r="J337" s="46"/>
      <c r="K337" s="48">
        <f>ROUND(SmtRes!AG51/SmtRes!DO51, 2)</f>
        <v>269.18</v>
      </c>
      <c r="L337" s="42"/>
      <c r="M337" s="48">
        <f>SmtRes!DH51</f>
        <v>64.599999999999994</v>
      </c>
      <c r="CE337">
        <v>1</v>
      </c>
    </row>
    <row r="338" spans="1:83" ht="28.5">
      <c r="A338" s="42"/>
      <c r="B338" s="42"/>
      <c r="C338" s="42" t="s">
        <v>329</v>
      </c>
      <c r="D338" s="42" t="s">
        <v>331</v>
      </c>
      <c r="E338" s="43" t="s">
        <v>327</v>
      </c>
      <c r="F338" s="47">
        <v>3.5000000000000003E-2</v>
      </c>
      <c r="G338" s="41"/>
      <c r="H338" s="47">
        <f>SmtRes!CX52</f>
        <v>0.42</v>
      </c>
      <c r="I338" s="48"/>
      <c r="J338" s="46"/>
      <c r="K338" s="48">
        <f>SmtRes!CZ52</f>
        <v>557.94000000000005</v>
      </c>
      <c r="L338" s="42"/>
      <c r="M338" s="48">
        <f>SmtRes!DG52</f>
        <v>234.33</v>
      </c>
    </row>
    <row r="339" spans="1:83" ht="28.5">
      <c r="A339" s="42"/>
      <c r="B339" s="42"/>
      <c r="C339" s="42" t="s">
        <v>332</v>
      </c>
      <c r="D339" s="42" t="s">
        <v>486</v>
      </c>
      <c r="E339" s="43" t="s">
        <v>321</v>
      </c>
      <c r="F339" s="47">
        <f>SmtRes!DO52*SmtRes!AT52</f>
        <v>3.5000000000000003E-2</v>
      </c>
      <c r="G339" s="41"/>
      <c r="H339" s="47">
        <f>SmtRes!DO52*SmtRes!CX52</f>
        <v>0.42</v>
      </c>
      <c r="I339" s="48"/>
      <c r="J339" s="46"/>
      <c r="K339" s="48">
        <f>ROUND(SmtRes!AG52/SmtRes!DO52, 2)</f>
        <v>303.11</v>
      </c>
      <c r="L339" s="42"/>
      <c r="M339" s="48">
        <f>SmtRes!DH52</f>
        <v>127.31</v>
      </c>
      <c r="CE339">
        <v>1</v>
      </c>
    </row>
    <row r="340" spans="1:83" ht="15">
      <c r="A340" s="41"/>
      <c r="B340" s="41"/>
      <c r="C340" s="45">
        <v>4</v>
      </c>
      <c r="D340" s="41" t="s">
        <v>488</v>
      </c>
      <c r="E340" s="43"/>
      <c r="F340" s="47"/>
      <c r="G340" s="45"/>
      <c r="H340" s="47"/>
      <c r="I340" s="45"/>
      <c r="J340" s="45"/>
      <c r="K340" s="45"/>
      <c r="L340" s="45"/>
      <c r="M340" s="49">
        <f>SUM(M341:M342)-SUMIF(CE341:CE342, 1, M341:M342)</f>
        <v>2099.02</v>
      </c>
    </row>
    <row r="341" spans="1:83" ht="28.5">
      <c r="A341" s="42"/>
      <c r="B341" s="42"/>
      <c r="C341" s="42" t="s">
        <v>345</v>
      </c>
      <c r="D341" s="42" t="s">
        <v>347</v>
      </c>
      <c r="E341" s="43" t="s">
        <v>344</v>
      </c>
      <c r="F341" s="47">
        <v>0.39</v>
      </c>
      <c r="G341" s="41"/>
      <c r="H341" s="47">
        <f>SmtRes!CX53</f>
        <v>4.68</v>
      </c>
      <c r="I341" s="48">
        <f>SmtRes!CZ53</f>
        <v>174.93</v>
      </c>
      <c r="J341" s="46">
        <f>SmtRes!AI53</f>
        <v>1.1100000000000001</v>
      </c>
      <c r="K341" s="48">
        <f>ROUND(I341*J341, 2)</f>
        <v>194.17</v>
      </c>
      <c r="L341" s="42"/>
      <c r="M341" s="48">
        <f>SmtRes!DF53</f>
        <v>908.72</v>
      </c>
    </row>
    <row r="342" spans="1:83" ht="14.25">
      <c r="A342" s="42"/>
      <c r="B342" s="42"/>
      <c r="C342" s="42" t="s">
        <v>375</v>
      </c>
      <c r="D342" s="50" t="s">
        <v>377</v>
      </c>
      <c r="E342" s="51" t="s">
        <v>378</v>
      </c>
      <c r="F342" s="52">
        <v>0.1</v>
      </c>
      <c r="G342" s="53"/>
      <c r="H342" s="52">
        <f>SmtRes!CX54</f>
        <v>1.2</v>
      </c>
      <c r="I342" s="54">
        <f>SmtRes!CZ54</f>
        <v>944.69</v>
      </c>
      <c r="J342" s="55">
        <f>SmtRes!AI54</f>
        <v>1.05</v>
      </c>
      <c r="K342" s="54">
        <f>ROUND(I342*J342, 2)</f>
        <v>991.92</v>
      </c>
      <c r="L342" s="50"/>
      <c r="M342" s="54">
        <f>SmtRes!DF54</f>
        <v>1190.3</v>
      </c>
    </row>
    <row r="343" spans="1:83" ht="15">
      <c r="A343" s="42"/>
      <c r="B343" s="42"/>
      <c r="C343" s="42"/>
      <c r="D343" s="58" t="s">
        <v>489</v>
      </c>
      <c r="E343" s="43"/>
      <c r="F343" s="47"/>
      <c r="G343" s="41"/>
      <c r="H343" s="47"/>
      <c r="I343" s="48"/>
      <c r="J343" s="46"/>
      <c r="K343" s="48"/>
      <c r="L343" s="42"/>
      <c r="M343" s="48">
        <f>M330+M332+M333+M340</f>
        <v>11139.78</v>
      </c>
    </row>
    <row r="344" spans="1:83" ht="57">
      <c r="A344" s="40" t="s">
        <v>542</v>
      </c>
      <c r="B344" s="42" t="s">
        <v>180</v>
      </c>
      <c r="C344" s="42" t="str">
        <f>Source!F244</f>
        <v>421/пр_2020_п.75_пп.а</v>
      </c>
      <c r="D344" s="42" t="str">
        <f>Source!G244</f>
        <v>Сметная стоимость вспомогательных ненормируемых материальных ресурсов, не учтенная в сметной норме, 2%</v>
      </c>
      <c r="E344" s="43" t="str">
        <f>Source!H244</f>
        <v>%</v>
      </c>
      <c r="F344" s="47">
        <f>SmtRes!AT55</f>
        <v>2</v>
      </c>
      <c r="G344" s="41"/>
      <c r="H344" s="47">
        <f>Source!I244</f>
        <v>2</v>
      </c>
      <c r="I344" s="48"/>
      <c r="J344" s="46"/>
      <c r="K344" s="48"/>
      <c r="L344" s="42"/>
      <c r="M344" s="48">
        <f>Source!P244</f>
        <v>156.4</v>
      </c>
      <c r="AD344">
        <f>ROUND((Source!AT244/100)*((ROUND(0*Source!I244, 2)+ROUND(0*Source!I244, 2))), 2)</f>
        <v>0</v>
      </c>
      <c r="AE344">
        <f>ROUND((Source!AU244/100)*((ROUND(0*Source!I244, 2)+ROUND(0*Source!I244, 2))), 2)</f>
        <v>0</v>
      </c>
      <c r="AN344">
        <f>M344</f>
        <v>156.4</v>
      </c>
      <c r="AW344">
        <f>M344</f>
        <v>156.4</v>
      </c>
      <c r="AZ344">
        <f>Source!X244</f>
        <v>0</v>
      </c>
      <c r="BA344">
        <f>Source!Y244</f>
        <v>0</v>
      </c>
      <c r="CD344">
        <v>4</v>
      </c>
    </row>
    <row r="345" spans="1:83" ht="14.25">
      <c r="A345" s="42"/>
      <c r="B345" s="42"/>
      <c r="C345" s="42"/>
      <c r="D345" s="42" t="s">
        <v>491</v>
      </c>
      <c r="E345" s="43"/>
      <c r="F345" s="47"/>
      <c r="G345" s="41"/>
      <c r="H345" s="47"/>
      <c r="I345" s="48"/>
      <c r="J345" s="46"/>
      <c r="K345" s="48"/>
      <c r="L345" s="42"/>
      <c r="M345" s="48">
        <f>SUM(AR329:AR348)+SUM(AS329:AS348)+SUM(AT329:AT348)+SUM(AU329:AU348)+SUM(AV329:AV348)</f>
        <v>8183.16</v>
      </c>
    </row>
    <row r="346" spans="1:83" ht="28.5">
      <c r="A346" s="42"/>
      <c r="B346" s="42"/>
      <c r="C346" s="42" t="s">
        <v>25</v>
      </c>
      <c r="D346" s="42" t="s">
        <v>492</v>
      </c>
      <c r="E346" s="43" t="s">
        <v>30</v>
      </c>
      <c r="F346" s="47">
        <f>Source!BZ243</f>
        <v>97</v>
      </c>
      <c r="G346" s="41"/>
      <c r="H346" s="47">
        <f>Source!AT243</f>
        <v>97</v>
      </c>
      <c r="I346" s="48"/>
      <c r="J346" s="46"/>
      <c r="K346" s="48"/>
      <c r="L346" s="42"/>
      <c r="M346" s="48">
        <f>SUM(AZ329:AZ348)</f>
        <v>7937.67</v>
      </c>
    </row>
    <row r="347" spans="1:83" ht="28.5">
      <c r="A347" s="50"/>
      <c r="B347" s="50"/>
      <c r="C347" s="50" t="s">
        <v>26</v>
      </c>
      <c r="D347" s="50" t="s">
        <v>493</v>
      </c>
      <c r="E347" s="51" t="s">
        <v>30</v>
      </c>
      <c r="F347" s="52">
        <f>Source!CA243</f>
        <v>51</v>
      </c>
      <c r="G347" s="53"/>
      <c r="H347" s="52">
        <f>Source!AU243</f>
        <v>51</v>
      </c>
      <c r="I347" s="54"/>
      <c r="J347" s="55"/>
      <c r="K347" s="54"/>
      <c r="L347" s="50"/>
      <c r="M347" s="54">
        <f>SUM(BA329:BA348)</f>
        <v>4173.41</v>
      </c>
    </row>
    <row r="348" spans="1:83" ht="15">
      <c r="D348" s="111" t="s">
        <v>494</v>
      </c>
      <c r="E348" s="111"/>
      <c r="F348" s="111"/>
      <c r="G348" s="111"/>
      <c r="H348" s="111"/>
      <c r="I348" s="111"/>
      <c r="J348" s="112">
        <f>L348/F329</f>
        <v>1950.6049999999998</v>
      </c>
      <c r="K348" s="112"/>
      <c r="L348" s="112">
        <f>M330+M332+M340+M346+M347+M333+SUM(M344:M344)</f>
        <v>23407.26</v>
      </c>
      <c r="M348" s="112"/>
      <c r="AD348">
        <f>ROUND((Source!AT243/100)*((ROUND(SUMIF(SmtRes!AQ48:'SmtRes'!AQ55,"=1",SmtRes!AD48:'SmtRes'!AD55)*Source!I243, 2)+ROUND(SUMIF(SmtRes!AQ48:'SmtRes'!AQ55,"=1",SmtRes!AC48:'SmtRes'!AC55)*Source!I243, 2))), 2)</f>
        <v>14929</v>
      </c>
      <c r="AE348">
        <f>ROUND((Source!AU243/100)*((ROUND(SUMIF(SmtRes!AQ48:'SmtRes'!AQ55,"=1",SmtRes!AD48:'SmtRes'!AD55)*Source!I243, 2)+ROUND(SUMIF(SmtRes!AQ48:'SmtRes'!AQ55,"=1",SmtRes!AC48:'SmtRes'!AC55)*Source!I243, 2))), 2)</f>
        <v>7849.27</v>
      </c>
      <c r="AN348" s="56">
        <f>M330+M332+M340+M346+M347+M333</f>
        <v>23250.859999999997</v>
      </c>
      <c r="AO348" s="56">
        <f>M332</f>
        <v>857.59999999999968</v>
      </c>
      <c r="AQ348" t="s">
        <v>495</v>
      </c>
      <c r="AR348" s="56">
        <f>M330</f>
        <v>7820.24</v>
      </c>
      <c r="AT348" s="56">
        <f>M333</f>
        <v>362.91999999999996</v>
      </c>
      <c r="AV348" t="s">
        <v>495</v>
      </c>
      <c r="AW348" s="56">
        <f>M340</f>
        <v>2099.02</v>
      </c>
      <c r="AZ348">
        <f>Source!X243</f>
        <v>7937.67</v>
      </c>
      <c r="BA348">
        <f>Source!Y243</f>
        <v>4173.41</v>
      </c>
      <c r="CD348">
        <v>2</v>
      </c>
    </row>
    <row r="349" spans="1:83" ht="71.25">
      <c r="A349" s="40" t="s">
        <v>181</v>
      </c>
      <c r="B349" s="42">
        <v>21</v>
      </c>
      <c r="C349" s="42" t="s">
        <v>543</v>
      </c>
      <c r="D349" s="42" t="str">
        <f>Source!G245</f>
        <v>Коробка с зажимами, устанавливаемая на конструкции на стене или колонне, для кабелей или проводов сечением: до 16 мм2, с количеством зажимов до 6</v>
      </c>
      <c r="E349" s="43" t="str">
        <f>Source!H245</f>
        <v>ШТ</v>
      </c>
      <c r="F349" s="47">
        <f>Source!K245</f>
        <v>8</v>
      </c>
      <c r="G349" s="41"/>
      <c r="H349" s="47">
        <f>Source!I245</f>
        <v>8</v>
      </c>
      <c r="I349" s="48"/>
      <c r="J349" s="46"/>
      <c r="K349" s="48"/>
      <c r="L349" s="42"/>
      <c r="M349" s="48"/>
    </row>
    <row r="350" spans="1:83" ht="15">
      <c r="A350" s="41"/>
      <c r="B350" s="41"/>
      <c r="C350" s="45">
        <v>1</v>
      </c>
      <c r="D350" s="41" t="s">
        <v>483</v>
      </c>
      <c r="E350" s="43" t="s">
        <v>321</v>
      </c>
      <c r="F350" s="47"/>
      <c r="G350" s="45"/>
      <c r="H350" s="47">
        <f>Source!U245</f>
        <v>32</v>
      </c>
      <c r="I350" s="45"/>
      <c r="J350" s="45"/>
      <c r="K350" s="45"/>
      <c r="L350" s="45"/>
      <c r="M350" s="49">
        <f>SUM(M351:M351)-SUMIF(CE351:CE351, 1, M351:M351)</f>
        <v>9482.24</v>
      </c>
    </row>
    <row r="351" spans="1:83" ht="28.5">
      <c r="A351" s="42"/>
      <c r="B351" s="42"/>
      <c r="C351" s="42" t="s">
        <v>361</v>
      </c>
      <c r="D351" s="42" t="s">
        <v>362</v>
      </c>
      <c r="E351" s="43" t="s">
        <v>321</v>
      </c>
      <c r="F351" s="47">
        <v>4</v>
      </c>
      <c r="G351" s="41"/>
      <c r="H351" s="47">
        <f>SmtRes!CX56</f>
        <v>32</v>
      </c>
      <c r="I351" s="48"/>
      <c r="J351" s="46"/>
      <c r="K351" s="48">
        <f>SmtRes!CZ56</f>
        <v>296.32</v>
      </c>
      <c r="L351" s="42"/>
      <c r="M351" s="48">
        <f>SmtRes!DI56</f>
        <v>9482.24</v>
      </c>
    </row>
    <row r="352" spans="1:83" ht="15">
      <c r="A352" s="41"/>
      <c r="B352" s="41"/>
      <c r="C352" s="45">
        <v>2</v>
      </c>
      <c r="D352" s="41" t="s">
        <v>484</v>
      </c>
      <c r="E352" s="43"/>
      <c r="F352" s="47"/>
      <c r="G352" s="45"/>
      <c r="H352" s="47"/>
      <c r="I352" s="45"/>
      <c r="J352" s="45"/>
      <c r="K352" s="45"/>
      <c r="L352" s="45"/>
      <c r="M352" s="49">
        <f>SUM(M353:M359)-SUMIF(CE353:CE359, 1, M353:M359)</f>
        <v>242.28999999999996</v>
      </c>
    </row>
    <row r="353" spans="1:83" ht="15">
      <c r="A353" s="41"/>
      <c r="B353" s="41"/>
      <c r="C353" s="45"/>
      <c r="D353" s="41" t="s">
        <v>487</v>
      </c>
      <c r="E353" s="43" t="s">
        <v>321</v>
      </c>
      <c r="F353" s="47"/>
      <c r="G353" s="45"/>
      <c r="H353" s="47">
        <f>Source!V245</f>
        <v>4.7840000000000007</v>
      </c>
      <c r="I353" s="45"/>
      <c r="J353" s="45"/>
      <c r="K353" s="45"/>
      <c r="L353" s="45"/>
      <c r="M353" s="49">
        <f>SUMIF(CE354:CE359, 1, M354:M359)</f>
        <v>56.82</v>
      </c>
      <c r="CE353">
        <v>1</v>
      </c>
    </row>
    <row r="354" spans="1:83" ht="28.5">
      <c r="A354" s="42"/>
      <c r="B354" s="42"/>
      <c r="C354" s="42" t="s">
        <v>324</v>
      </c>
      <c r="D354" s="42" t="s">
        <v>326</v>
      </c>
      <c r="E354" s="43" t="s">
        <v>327</v>
      </c>
      <c r="F354" s="47">
        <v>0.01</v>
      </c>
      <c r="G354" s="41"/>
      <c r="H354" s="47">
        <f>SmtRes!CX58</f>
        <v>0.08</v>
      </c>
      <c r="I354" s="48"/>
      <c r="J354" s="46"/>
      <c r="K354" s="48">
        <f>SmtRes!CZ58</f>
        <v>1442.85</v>
      </c>
      <c r="L354" s="42"/>
      <c r="M354" s="48">
        <f>SmtRes!DG58</f>
        <v>115.43</v>
      </c>
    </row>
    <row r="355" spans="1:83" ht="28.5">
      <c r="A355" s="42"/>
      <c r="B355" s="42"/>
      <c r="C355" s="42" t="s">
        <v>328</v>
      </c>
      <c r="D355" s="42" t="s">
        <v>485</v>
      </c>
      <c r="E355" s="43" t="s">
        <v>321</v>
      </c>
      <c r="F355" s="47">
        <f>SmtRes!DO58*SmtRes!AT58</f>
        <v>0.01</v>
      </c>
      <c r="G355" s="41"/>
      <c r="H355" s="47">
        <f>SmtRes!DO58*SmtRes!CX58</f>
        <v>0.08</v>
      </c>
      <c r="I355" s="48"/>
      <c r="J355" s="46"/>
      <c r="K355" s="48">
        <f>ROUND(SmtRes!AG58/SmtRes!DO58, 2)</f>
        <v>407.16</v>
      </c>
      <c r="L355" s="42"/>
      <c r="M355" s="48">
        <f>SmtRes!DH58</f>
        <v>32.57</v>
      </c>
      <c r="CE355">
        <v>1</v>
      </c>
    </row>
    <row r="356" spans="1:83" ht="28.5">
      <c r="A356" s="42"/>
      <c r="B356" s="42"/>
      <c r="C356" s="42" t="s">
        <v>329</v>
      </c>
      <c r="D356" s="42" t="s">
        <v>331</v>
      </c>
      <c r="E356" s="43" t="s">
        <v>327</v>
      </c>
      <c r="F356" s="47">
        <v>0.01</v>
      </c>
      <c r="G356" s="41"/>
      <c r="H356" s="47">
        <f>SmtRes!CX59</f>
        <v>0.08</v>
      </c>
      <c r="I356" s="48"/>
      <c r="J356" s="46"/>
      <c r="K356" s="48">
        <f>SmtRes!CZ59</f>
        <v>557.94000000000005</v>
      </c>
      <c r="L356" s="42"/>
      <c r="M356" s="48">
        <f>SmtRes!DG59</f>
        <v>44.64</v>
      </c>
    </row>
    <row r="357" spans="1:83" ht="28.5">
      <c r="A357" s="42"/>
      <c r="B357" s="42"/>
      <c r="C357" s="42" t="s">
        <v>332</v>
      </c>
      <c r="D357" s="42" t="s">
        <v>486</v>
      </c>
      <c r="E357" s="43" t="s">
        <v>321</v>
      </c>
      <c r="F357" s="47">
        <f>SmtRes!DO59*SmtRes!AT59</f>
        <v>0.01</v>
      </c>
      <c r="G357" s="41"/>
      <c r="H357" s="47">
        <f>SmtRes!DO59*SmtRes!CX59</f>
        <v>0.08</v>
      </c>
      <c r="I357" s="48"/>
      <c r="J357" s="46"/>
      <c r="K357" s="48">
        <f>ROUND(SmtRes!AG59/SmtRes!DO59, 2)</f>
        <v>303.11</v>
      </c>
      <c r="L357" s="42"/>
      <c r="M357" s="48">
        <f>SmtRes!DH59</f>
        <v>24.25</v>
      </c>
      <c r="CE357">
        <v>1</v>
      </c>
    </row>
    <row r="358" spans="1:83" ht="42.75">
      <c r="A358" s="42"/>
      <c r="B358" s="42"/>
      <c r="C358" s="42" t="s">
        <v>338</v>
      </c>
      <c r="D358" s="42" t="s">
        <v>340</v>
      </c>
      <c r="E358" s="43" t="s">
        <v>327</v>
      </c>
      <c r="F358" s="47">
        <v>0.28000000000000003</v>
      </c>
      <c r="G358" s="41"/>
      <c r="H358" s="47">
        <f>SmtRes!CX60</f>
        <v>2.2400000000000002</v>
      </c>
      <c r="I358" s="48"/>
      <c r="J358" s="46"/>
      <c r="K358" s="48">
        <f>SmtRes!CZ60</f>
        <v>17.78</v>
      </c>
      <c r="L358" s="42"/>
      <c r="M358" s="48">
        <f>SmtRes!DG60</f>
        <v>39.83</v>
      </c>
    </row>
    <row r="359" spans="1:83" ht="28.5">
      <c r="A359" s="42"/>
      <c r="B359" s="42"/>
      <c r="C359" s="42" t="s">
        <v>379</v>
      </c>
      <c r="D359" s="42" t="s">
        <v>381</v>
      </c>
      <c r="E359" s="43" t="s">
        <v>327</v>
      </c>
      <c r="F359" s="47">
        <v>0.29799999999999999</v>
      </c>
      <c r="G359" s="41"/>
      <c r="H359" s="47">
        <f>SmtRes!CX61</f>
        <v>2.3839999999999999</v>
      </c>
      <c r="I359" s="48"/>
      <c r="J359" s="46"/>
      <c r="K359" s="48">
        <f>SmtRes!CZ61</f>
        <v>17.78</v>
      </c>
      <c r="L359" s="42"/>
      <c r="M359" s="48">
        <f>SmtRes!DG61</f>
        <v>42.39</v>
      </c>
    </row>
    <row r="360" spans="1:83" ht="15">
      <c r="A360" s="41"/>
      <c r="B360" s="41"/>
      <c r="C360" s="45">
        <v>4</v>
      </c>
      <c r="D360" s="41" t="s">
        <v>488</v>
      </c>
      <c r="E360" s="43"/>
      <c r="F360" s="47"/>
      <c r="G360" s="45"/>
      <c r="H360" s="47"/>
      <c r="I360" s="45"/>
      <c r="J360" s="45"/>
      <c r="K360" s="45"/>
      <c r="L360" s="45"/>
      <c r="M360" s="49">
        <f>SUM(M361:M372)-SUMIF(CE361:CE372, 1, M361:M372)</f>
        <v>6514.0699999999988</v>
      </c>
    </row>
    <row r="361" spans="1:83" ht="14.25">
      <c r="A361" s="42"/>
      <c r="B361" s="42"/>
      <c r="C361" s="42" t="s">
        <v>382</v>
      </c>
      <c r="D361" s="42" t="s">
        <v>384</v>
      </c>
      <c r="E361" s="43" t="s">
        <v>344</v>
      </c>
      <c r="F361" s="47">
        <v>1.2E-2</v>
      </c>
      <c r="G361" s="41"/>
      <c r="H361" s="47">
        <f>SmtRes!CX62</f>
        <v>9.6000000000000002E-2</v>
      </c>
      <c r="I361" s="48">
        <f>SmtRes!CZ62</f>
        <v>150.04</v>
      </c>
      <c r="J361" s="46">
        <f>SmtRes!AI62</f>
        <v>1.5</v>
      </c>
      <c r="K361" s="48">
        <f>ROUND(I361*J361, 2)</f>
        <v>225.06</v>
      </c>
      <c r="L361" s="42"/>
      <c r="M361" s="48">
        <f>SmtRes!DF62</f>
        <v>21.61</v>
      </c>
    </row>
    <row r="362" spans="1:83" ht="14.25">
      <c r="A362" s="42"/>
      <c r="B362" s="42"/>
      <c r="C362" s="42" t="s">
        <v>385</v>
      </c>
      <c r="D362" s="42" t="s">
        <v>387</v>
      </c>
      <c r="E362" s="43" t="s">
        <v>344</v>
      </c>
      <c r="F362" s="47">
        <v>5.0000000000000001E-3</v>
      </c>
      <c r="G362" s="41"/>
      <c r="H362" s="47">
        <f>SmtRes!CX63</f>
        <v>0.04</v>
      </c>
      <c r="I362" s="48">
        <f>SmtRes!CZ63</f>
        <v>187.38</v>
      </c>
      <c r="J362" s="46">
        <f>SmtRes!AI63</f>
        <v>0.91</v>
      </c>
      <c r="K362" s="48">
        <f>ROUND(I362*J362, 2)</f>
        <v>170.52</v>
      </c>
      <c r="L362" s="42"/>
      <c r="M362" s="48">
        <f>SmtRes!DF63</f>
        <v>6.82</v>
      </c>
    </row>
    <row r="363" spans="1:83" ht="14.25">
      <c r="A363" s="42"/>
      <c r="B363" s="42"/>
      <c r="C363" s="42" t="s">
        <v>388</v>
      </c>
      <c r="D363" s="42" t="s">
        <v>390</v>
      </c>
      <c r="E363" s="43" t="s">
        <v>391</v>
      </c>
      <c r="F363" s="47">
        <v>2.0799999999999999E-2</v>
      </c>
      <c r="G363" s="41"/>
      <c r="H363" s="47">
        <f>SmtRes!CX64</f>
        <v>0.16639999999999999</v>
      </c>
      <c r="I363" s="48"/>
      <c r="J363" s="46"/>
      <c r="K363" s="48">
        <f>SmtRes!CZ64</f>
        <v>6.45</v>
      </c>
      <c r="L363" s="42"/>
      <c r="M363" s="48">
        <f>SmtRes!DF64</f>
        <v>1.07</v>
      </c>
    </row>
    <row r="364" spans="1:83" ht="71.25">
      <c r="A364" s="42"/>
      <c r="B364" s="42"/>
      <c r="C364" s="42" t="s">
        <v>392</v>
      </c>
      <c r="D364" s="42" t="s">
        <v>394</v>
      </c>
      <c r="E364" s="43" t="s">
        <v>135</v>
      </c>
      <c r="F364" s="47">
        <v>4</v>
      </c>
      <c r="G364" s="41"/>
      <c r="H364" s="47">
        <f>SmtRes!CX65</f>
        <v>32</v>
      </c>
      <c r="I364" s="48">
        <f>SmtRes!CZ65</f>
        <v>5.87</v>
      </c>
      <c r="J364" s="46">
        <f>SmtRes!AI65</f>
        <v>1.1299999999999999</v>
      </c>
      <c r="K364" s="48">
        <f t="shared" ref="K364:K372" si="1">ROUND(I364*J364, 2)</f>
        <v>6.63</v>
      </c>
      <c r="L364" s="42"/>
      <c r="M364" s="48">
        <f>SmtRes!DF65</f>
        <v>212.16</v>
      </c>
    </row>
    <row r="365" spans="1:83" ht="57">
      <c r="A365" s="42"/>
      <c r="B365" s="42"/>
      <c r="C365" s="42" t="s">
        <v>341</v>
      </c>
      <c r="D365" s="42" t="s">
        <v>343</v>
      </c>
      <c r="E365" s="43" t="s">
        <v>344</v>
      </c>
      <c r="F365" s="47">
        <v>7.0000000000000007E-2</v>
      </c>
      <c r="G365" s="41"/>
      <c r="H365" s="47">
        <f>SmtRes!CX66</f>
        <v>0.56000000000000005</v>
      </c>
      <c r="I365" s="48">
        <f>SmtRes!CZ66</f>
        <v>155.63</v>
      </c>
      <c r="J365" s="46">
        <f>SmtRes!AI66</f>
        <v>1.03</v>
      </c>
      <c r="K365" s="48">
        <f t="shared" si="1"/>
        <v>160.30000000000001</v>
      </c>
      <c r="L365" s="42"/>
      <c r="M365" s="48">
        <f>SmtRes!DF66</f>
        <v>89.77</v>
      </c>
    </row>
    <row r="366" spans="1:83" ht="28.5">
      <c r="A366" s="42"/>
      <c r="B366" s="42"/>
      <c r="C366" s="42" t="s">
        <v>345</v>
      </c>
      <c r="D366" s="42" t="s">
        <v>347</v>
      </c>
      <c r="E366" s="43" t="s">
        <v>344</v>
      </c>
      <c r="F366" s="47">
        <v>0.40100000000000002</v>
      </c>
      <c r="G366" s="41"/>
      <c r="H366" s="47">
        <f>SmtRes!CX67</f>
        <v>3.2080000000000002</v>
      </c>
      <c r="I366" s="48">
        <f>SmtRes!CZ67</f>
        <v>174.93</v>
      </c>
      <c r="J366" s="46">
        <f>SmtRes!AI67</f>
        <v>1.1100000000000001</v>
      </c>
      <c r="K366" s="48">
        <f t="shared" si="1"/>
        <v>194.17</v>
      </c>
      <c r="L366" s="42"/>
      <c r="M366" s="48">
        <f>SmtRes!DF67</f>
        <v>622.9</v>
      </c>
    </row>
    <row r="367" spans="1:83" ht="14.25">
      <c r="A367" s="42"/>
      <c r="B367" s="42"/>
      <c r="C367" s="42" t="s">
        <v>395</v>
      </c>
      <c r="D367" s="42" t="s">
        <v>397</v>
      </c>
      <c r="E367" s="43" t="s">
        <v>44</v>
      </c>
      <c r="F367" s="47">
        <v>1.4E-2</v>
      </c>
      <c r="G367" s="41"/>
      <c r="H367" s="47">
        <f>SmtRes!CX68</f>
        <v>0.112</v>
      </c>
      <c r="I367" s="48">
        <f>SmtRes!CZ68</f>
        <v>41.71</v>
      </c>
      <c r="J367" s="46">
        <f>SmtRes!AI68</f>
        <v>1.1599999999999999</v>
      </c>
      <c r="K367" s="48">
        <f t="shared" si="1"/>
        <v>48.38</v>
      </c>
      <c r="L367" s="42"/>
      <c r="M367" s="48">
        <f>SmtRes!DF68</f>
        <v>5.42</v>
      </c>
    </row>
    <row r="368" spans="1:83" ht="14.25">
      <c r="A368" s="42"/>
      <c r="B368" s="42"/>
      <c r="C368" s="42" t="s">
        <v>398</v>
      </c>
      <c r="D368" s="42" t="s">
        <v>400</v>
      </c>
      <c r="E368" s="43" t="s">
        <v>344</v>
      </c>
      <c r="F368" s="47">
        <v>4.0000000000000001E-3</v>
      </c>
      <c r="G368" s="41"/>
      <c r="H368" s="47">
        <f>SmtRes!CX69</f>
        <v>3.2000000000000001E-2</v>
      </c>
      <c r="I368" s="48">
        <f>SmtRes!CZ69</f>
        <v>395.65</v>
      </c>
      <c r="J368" s="46">
        <f>SmtRes!AI69</f>
        <v>1.91</v>
      </c>
      <c r="K368" s="48">
        <f t="shared" si="1"/>
        <v>755.69</v>
      </c>
      <c r="L368" s="42"/>
      <c r="M368" s="48">
        <f>SmtRes!DF69</f>
        <v>24.18</v>
      </c>
    </row>
    <row r="369" spans="1:83" ht="42.75">
      <c r="A369" s="42"/>
      <c r="B369" s="42"/>
      <c r="C369" s="42" t="s">
        <v>358</v>
      </c>
      <c r="D369" s="42" t="s">
        <v>360</v>
      </c>
      <c r="E369" s="43" t="s">
        <v>37</v>
      </c>
      <c r="F369" s="47">
        <v>5.0000000000000001E-3</v>
      </c>
      <c r="G369" s="41"/>
      <c r="H369" s="47">
        <f>SmtRes!CX70</f>
        <v>0.04</v>
      </c>
      <c r="I369" s="48">
        <f>SmtRes!CZ70</f>
        <v>105278.81</v>
      </c>
      <c r="J369" s="46">
        <f>SmtRes!AI70</f>
        <v>1.1100000000000001</v>
      </c>
      <c r="K369" s="48">
        <f t="shared" si="1"/>
        <v>116859.48</v>
      </c>
      <c r="L369" s="42"/>
      <c r="M369" s="48">
        <f>SmtRes!DF70</f>
        <v>4674.38</v>
      </c>
    </row>
    <row r="370" spans="1:83" ht="28.5">
      <c r="A370" s="42"/>
      <c r="B370" s="42"/>
      <c r="C370" s="42" t="s">
        <v>363</v>
      </c>
      <c r="D370" s="42" t="s">
        <v>365</v>
      </c>
      <c r="E370" s="43" t="s">
        <v>344</v>
      </c>
      <c r="F370" s="47">
        <v>5.3999999999999999E-2</v>
      </c>
      <c r="G370" s="41"/>
      <c r="H370" s="47">
        <f>SmtRes!CX71</f>
        <v>0.432</v>
      </c>
      <c r="I370" s="48">
        <f>SmtRes!CZ71</f>
        <v>79.88</v>
      </c>
      <c r="J370" s="46">
        <f>SmtRes!AI71</f>
        <v>1.37</v>
      </c>
      <c r="K370" s="48">
        <f t="shared" si="1"/>
        <v>109.44</v>
      </c>
      <c r="L370" s="42"/>
      <c r="M370" s="48">
        <f>SmtRes!DF71</f>
        <v>47.28</v>
      </c>
    </row>
    <row r="371" spans="1:83" ht="14.25">
      <c r="A371" s="42"/>
      <c r="B371" s="42"/>
      <c r="C371" s="42" t="s">
        <v>401</v>
      </c>
      <c r="D371" s="42" t="s">
        <v>403</v>
      </c>
      <c r="E371" s="43" t="s">
        <v>344</v>
      </c>
      <c r="F371" s="47">
        <v>1.2E-2</v>
      </c>
      <c r="G371" s="41"/>
      <c r="H371" s="47">
        <f>SmtRes!CX72</f>
        <v>9.6000000000000002E-2</v>
      </c>
      <c r="I371" s="48">
        <f>SmtRes!CZ72</f>
        <v>135.32</v>
      </c>
      <c r="J371" s="46">
        <f>SmtRes!AI72</f>
        <v>1.1499999999999999</v>
      </c>
      <c r="K371" s="48">
        <f t="shared" si="1"/>
        <v>155.62</v>
      </c>
      <c r="L371" s="42"/>
      <c r="M371" s="48">
        <f>SmtRes!DF72</f>
        <v>14.94</v>
      </c>
    </row>
    <row r="372" spans="1:83" ht="14.25">
      <c r="A372" s="42"/>
      <c r="B372" s="42"/>
      <c r="C372" s="42" t="s">
        <v>375</v>
      </c>
      <c r="D372" s="50" t="s">
        <v>377</v>
      </c>
      <c r="E372" s="51" t="s">
        <v>378</v>
      </c>
      <c r="F372" s="52">
        <v>0.1</v>
      </c>
      <c r="G372" s="53"/>
      <c r="H372" s="52">
        <f>SmtRes!CX73</f>
        <v>0.8</v>
      </c>
      <c r="I372" s="54">
        <f>SmtRes!CZ73</f>
        <v>944.69</v>
      </c>
      <c r="J372" s="55">
        <f>SmtRes!AI73</f>
        <v>1.05</v>
      </c>
      <c r="K372" s="54">
        <f t="shared" si="1"/>
        <v>991.92</v>
      </c>
      <c r="L372" s="50"/>
      <c r="M372" s="54">
        <f>SmtRes!DF73</f>
        <v>793.54</v>
      </c>
    </row>
    <row r="373" spans="1:83" ht="15">
      <c r="A373" s="42"/>
      <c r="B373" s="42"/>
      <c r="C373" s="42"/>
      <c r="D373" s="58" t="s">
        <v>489</v>
      </c>
      <c r="E373" s="43"/>
      <c r="F373" s="47"/>
      <c r="G373" s="41"/>
      <c r="H373" s="47"/>
      <c r="I373" s="48"/>
      <c r="J373" s="46"/>
      <c r="K373" s="48"/>
      <c r="L373" s="42"/>
      <c r="M373" s="48">
        <f>M350+M352+M353+M360</f>
        <v>16295.419999999998</v>
      </c>
    </row>
    <row r="374" spans="1:83" ht="57">
      <c r="A374" s="40" t="s">
        <v>544</v>
      </c>
      <c r="B374" s="42" t="s">
        <v>185</v>
      </c>
      <c r="C374" s="42" t="str">
        <f>Source!F246</f>
        <v>421/пр_2020_п.75_пп.а</v>
      </c>
      <c r="D374" s="42" t="str">
        <f>Source!G246</f>
        <v>Сметная стоимость вспомогательных ненормируемых материальных ресурсов, не учтенная в сметной норме, 2%</v>
      </c>
      <c r="E374" s="43" t="str">
        <f>Source!H246</f>
        <v>%</v>
      </c>
      <c r="F374" s="47">
        <f>SmtRes!AT74</f>
        <v>2</v>
      </c>
      <c r="G374" s="41"/>
      <c r="H374" s="47">
        <f>Source!I246</f>
        <v>2</v>
      </c>
      <c r="I374" s="48"/>
      <c r="J374" s="46"/>
      <c r="K374" s="48"/>
      <c r="L374" s="42"/>
      <c r="M374" s="48">
        <f>Source!P246</f>
        <v>189.64</v>
      </c>
      <c r="AD374">
        <f>ROUND((Source!AT246/100)*((ROUND(0*Source!I246, 2)+ROUND(0*Source!I246, 2))), 2)</f>
        <v>0</v>
      </c>
      <c r="AE374">
        <f>ROUND((Source!AU246/100)*((ROUND(0*Source!I246, 2)+ROUND(0*Source!I246, 2))), 2)</f>
        <v>0</v>
      </c>
      <c r="AN374">
        <f>M374</f>
        <v>189.64</v>
      </c>
      <c r="AW374">
        <f>M374</f>
        <v>189.64</v>
      </c>
      <c r="AZ374">
        <f>Source!X246</f>
        <v>0</v>
      </c>
      <c r="BA374">
        <f>Source!Y246</f>
        <v>0</v>
      </c>
      <c r="CD374">
        <v>4</v>
      </c>
    </row>
    <row r="375" spans="1:83" ht="14.25">
      <c r="A375" s="42"/>
      <c r="B375" s="42"/>
      <c r="C375" s="42"/>
      <c r="D375" s="42" t="s">
        <v>491</v>
      </c>
      <c r="E375" s="43"/>
      <c r="F375" s="47"/>
      <c r="G375" s="41"/>
      <c r="H375" s="47"/>
      <c r="I375" s="48"/>
      <c r="J375" s="46"/>
      <c r="K375" s="48"/>
      <c r="L375" s="42"/>
      <c r="M375" s="48">
        <f>SUM(AR349:AR378)+SUM(AS349:AS378)+SUM(AT349:AT378)+SUM(AU349:AU378)+SUM(AV349:AV378)</f>
        <v>9539.06</v>
      </c>
    </row>
    <row r="376" spans="1:83" ht="28.5">
      <c r="A376" s="42"/>
      <c r="B376" s="42"/>
      <c r="C376" s="42" t="s">
        <v>25</v>
      </c>
      <c r="D376" s="42" t="s">
        <v>492</v>
      </c>
      <c r="E376" s="43" t="s">
        <v>30</v>
      </c>
      <c r="F376" s="47">
        <f>Source!BZ245</f>
        <v>97</v>
      </c>
      <c r="G376" s="41"/>
      <c r="H376" s="47">
        <f>Source!AT245</f>
        <v>97</v>
      </c>
      <c r="I376" s="48"/>
      <c r="J376" s="46"/>
      <c r="K376" s="48"/>
      <c r="L376" s="42"/>
      <c r="M376" s="48">
        <f>SUM(AZ349:AZ378)</f>
        <v>9252.89</v>
      </c>
    </row>
    <row r="377" spans="1:83" ht="28.5">
      <c r="A377" s="50"/>
      <c r="B377" s="50"/>
      <c r="C377" s="50" t="s">
        <v>26</v>
      </c>
      <c r="D377" s="50" t="s">
        <v>493</v>
      </c>
      <c r="E377" s="51" t="s">
        <v>30</v>
      </c>
      <c r="F377" s="52">
        <f>Source!CA245</f>
        <v>51</v>
      </c>
      <c r="G377" s="53"/>
      <c r="H377" s="52">
        <f>Source!AU245</f>
        <v>51</v>
      </c>
      <c r="I377" s="54"/>
      <c r="J377" s="55"/>
      <c r="K377" s="54"/>
      <c r="L377" s="50"/>
      <c r="M377" s="54">
        <f>SUM(BA349:BA378)</f>
        <v>4864.92</v>
      </c>
    </row>
    <row r="378" spans="1:83" ht="15">
      <c r="D378" s="111" t="s">
        <v>494</v>
      </c>
      <c r="E378" s="111"/>
      <c r="F378" s="111"/>
      <c r="G378" s="111"/>
      <c r="H378" s="111"/>
      <c r="I378" s="111"/>
      <c r="J378" s="112">
        <f>L378/F349</f>
        <v>3825.3587499999994</v>
      </c>
      <c r="K378" s="112"/>
      <c r="L378" s="112">
        <f>M350+M352+M360+M376+M377+M353+SUM(M374:M374)</f>
        <v>30602.869999999995</v>
      </c>
      <c r="M378" s="112"/>
      <c r="AD378">
        <f>ROUND((Source!AT245/100)*((ROUND(SUMIF(SmtRes!AQ56:'SmtRes'!AQ74,"=1",SmtRes!AD56:'SmtRes'!AD74)*Source!I245, 2)+ROUND(SUMIF(SmtRes!AQ56:'SmtRes'!AQ74,"=1",SmtRes!AC56:'SmtRes'!AC74)*Source!I245, 2))), 2)</f>
        <v>7811.14</v>
      </c>
      <c r="AE378">
        <f>ROUND((Source!AU245/100)*((ROUND(SUMIF(SmtRes!AQ56:'SmtRes'!AQ74,"=1",SmtRes!AD56:'SmtRes'!AD74)*Source!I245, 2)+ROUND(SUMIF(SmtRes!AQ56:'SmtRes'!AQ74,"=1",SmtRes!AC56:'SmtRes'!AC74)*Source!I245, 2))), 2)</f>
        <v>4106.8900000000003</v>
      </c>
      <c r="AN378" s="56">
        <f>M350+M352+M360+M376+M377+M353</f>
        <v>30413.229999999996</v>
      </c>
      <c r="AO378" s="56">
        <f>M352</f>
        <v>242.28999999999996</v>
      </c>
      <c r="AQ378" t="s">
        <v>495</v>
      </c>
      <c r="AR378" s="56">
        <f>M350</f>
        <v>9482.24</v>
      </c>
      <c r="AT378" s="56">
        <f>M353</f>
        <v>56.82</v>
      </c>
      <c r="AV378" t="s">
        <v>495</v>
      </c>
      <c r="AW378" s="56">
        <f>M360</f>
        <v>6514.0699999999988</v>
      </c>
      <c r="AZ378">
        <f>Source!X245</f>
        <v>9252.89</v>
      </c>
      <c r="BA378">
        <f>Source!Y245</f>
        <v>4864.92</v>
      </c>
      <c r="CD378">
        <v>2</v>
      </c>
    </row>
    <row r="379" spans="1:83" ht="42.75">
      <c r="A379" s="40" t="s">
        <v>186</v>
      </c>
      <c r="B379" s="42">
        <v>22</v>
      </c>
      <c r="C379" s="42" t="s">
        <v>545</v>
      </c>
      <c r="D379" s="42" t="str">
        <f>Source!G247</f>
        <v>Автомат одно-, двух-, трехполюсный, устанавливаемый на конструкции: на стене или колонне, на ток до 25 А</v>
      </c>
      <c r="E379" s="43" t="str">
        <f>Source!H247</f>
        <v>ШТ</v>
      </c>
      <c r="F379" s="47">
        <f>Source!K247</f>
        <v>1</v>
      </c>
      <c r="G379" s="41"/>
      <c r="H379" s="47">
        <f>Source!I247</f>
        <v>1</v>
      </c>
      <c r="I379" s="48"/>
      <c r="J379" s="46"/>
      <c r="K379" s="48"/>
      <c r="L379" s="42"/>
      <c r="M379" s="48"/>
    </row>
    <row r="380" spans="1:83" ht="15">
      <c r="A380" s="41"/>
      <c r="B380" s="41"/>
      <c r="C380" s="45">
        <v>1</v>
      </c>
      <c r="D380" s="41" t="s">
        <v>483</v>
      </c>
      <c r="E380" s="43" t="s">
        <v>321</v>
      </c>
      <c r="F380" s="47"/>
      <c r="G380" s="45"/>
      <c r="H380" s="47">
        <f>Source!U247</f>
        <v>1.34</v>
      </c>
      <c r="I380" s="45"/>
      <c r="J380" s="45"/>
      <c r="K380" s="45"/>
      <c r="L380" s="45"/>
      <c r="M380" s="49">
        <f>SUM(M381:M381)-SUMIF(CE381:CE381, 1, M381:M381)</f>
        <v>401.62</v>
      </c>
    </row>
    <row r="381" spans="1:83" ht="28.5">
      <c r="A381" s="42"/>
      <c r="B381" s="42"/>
      <c r="C381" s="42" t="s">
        <v>404</v>
      </c>
      <c r="D381" s="42" t="s">
        <v>405</v>
      </c>
      <c r="E381" s="43" t="s">
        <v>321</v>
      </c>
      <c r="F381" s="47">
        <v>1.34</v>
      </c>
      <c r="G381" s="41"/>
      <c r="H381" s="47">
        <f>SmtRes!CX75</f>
        <v>1.34</v>
      </c>
      <c r="I381" s="48"/>
      <c r="J381" s="46"/>
      <c r="K381" s="48">
        <f>SmtRes!CZ75</f>
        <v>299.72000000000003</v>
      </c>
      <c r="L381" s="42"/>
      <c r="M381" s="48">
        <f>SmtRes!DI75</f>
        <v>401.62</v>
      </c>
    </row>
    <row r="382" spans="1:83" ht="15">
      <c r="A382" s="41"/>
      <c r="B382" s="41"/>
      <c r="C382" s="45">
        <v>2</v>
      </c>
      <c r="D382" s="41" t="s">
        <v>484</v>
      </c>
      <c r="E382" s="43"/>
      <c r="F382" s="47"/>
      <c r="G382" s="45"/>
      <c r="H382" s="47"/>
      <c r="I382" s="45"/>
      <c r="J382" s="45"/>
      <c r="K382" s="45"/>
      <c r="L382" s="45"/>
      <c r="M382" s="49">
        <f>SUM(M383:M384)-SUMIF(CE383:CE384, 1, M383:M384)</f>
        <v>1.92</v>
      </c>
    </row>
    <row r="383" spans="1:83" ht="15">
      <c r="A383" s="41"/>
      <c r="B383" s="41"/>
      <c r="C383" s="45"/>
      <c r="D383" s="41" t="s">
        <v>487</v>
      </c>
      <c r="E383" s="43" t="s">
        <v>321</v>
      </c>
      <c r="F383" s="47"/>
      <c r="G383" s="45"/>
      <c r="H383" s="47">
        <f>Source!V247</f>
        <v>0.108</v>
      </c>
      <c r="I383" s="45"/>
      <c r="J383" s="45"/>
      <c r="K383" s="45"/>
      <c r="L383" s="45"/>
      <c r="M383" s="49">
        <f>SUMIF(CE384:CE384, 1, M384:M384)</f>
        <v>0</v>
      </c>
      <c r="CE383">
        <v>1</v>
      </c>
    </row>
    <row r="384" spans="1:83" ht="42.75">
      <c r="A384" s="42"/>
      <c r="B384" s="42"/>
      <c r="C384" s="42" t="s">
        <v>338</v>
      </c>
      <c r="D384" s="42" t="s">
        <v>340</v>
      </c>
      <c r="E384" s="43" t="s">
        <v>327</v>
      </c>
      <c r="F384" s="47">
        <v>0.108</v>
      </c>
      <c r="G384" s="41"/>
      <c r="H384" s="47">
        <f>SmtRes!CX76</f>
        <v>0.108</v>
      </c>
      <c r="I384" s="48"/>
      <c r="J384" s="46"/>
      <c r="K384" s="48">
        <f>SmtRes!CZ76</f>
        <v>17.78</v>
      </c>
      <c r="L384" s="42"/>
      <c r="M384" s="48">
        <f>SmtRes!DG76</f>
        <v>1.92</v>
      </c>
    </row>
    <row r="385" spans="1:82" ht="15">
      <c r="A385" s="41"/>
      <c r="B385" s="41"/>
      <c r="C385" s="45">
        <v>4</v>
      </c>
      <c r="D385" s="41" t="s">
        <v>488</v>
      </c>
      <c r="E385" s="43"/>
      <c r="F385" s="47"/>
      <c r="G385" s="45"/>
      <c r="H385" s="47"/>
      <c r="I385" s="45"/>
      <c r="J385" s="45"/>
      <c r="K385" s="45"/>
      <c r="L385" s="45"/>
      <c r="M385" s="49">
        <f>SUM(M386:M397)-SUMIF(CE386:CE397, 1, M386:M397)</f>
        <v>251.37</v>
      </c>
    </row>
    <row r="386" spans="1:82" ht="14.25">
      <c r="A386" s="42"/>
      <c r="B386" s="42"/>
      <c r="C386" s="42" t="s">
        <v>382</v>
      </c>
      <c r="D386" s="42" t="s">
        <v>384</v>
      </c>
      <c r="E386" s="43" t="s">
        <v>344</v>
      </c>
      <c r="F386" s="47">
        <v>6.0000000000000001E-3</v>
      </c>
      <c r="G386" s="41"/>
      <c r="H386" s="47">
        <f>SmtRes!CX77</f>
        <v>6.0000000000000001E-3</v>
      </c>
      <c r="I386" s="48">
        <f>SmtRes!CZ77</f>
        <v>150.04</v>
      </c>
      <c r="J386" s="46">
        <f>SmtRes!AI77</f>
        <v>1.5</v>
      </c>
      <c r="K386" s="48">
        <f>ROUND(I386*J386, 2)</f>
        <v>225.06</v>
      </c>
      <c r="L386" s="42"/>
      <c r="M386" s="48">
        <f>SmtRes!DF77</f>
        <v>1.35</v>
      </c>
    </row>
    <row r="387" spans="1:82" ht="14.25">
      <c r="A387" s="42"/>
      <c r="B387" s="42"/>
      <c r="C387" s="42" t="s">
        <v>385</v>
      </c>
      <c r="D387" s="42" t="s">
        <v>387</v>
      </c>
      <c r="E387" s="43" t="s">
        <v>344</v>
      </c>
      <c r="F387" s="47">
        <v>1E-3</v>
      </c>
      <c r="G387" s="41"/>
      <c r="H387" s="47">
        <f>SmtRes!CX78</f>
        <v>1E-3</v>
      </c>
      <c r="I387" s="48">
        <f>SmtRes!CZ78</f>
        <v>187.38</v>
      </c>
      <c r="J387" s="46">
        <f>SmtRes!AI78</f>
        <v>0.91</v>
      </c>
      <c r="K387" s="48">
        <f>ROUND(I387*J387, 2)</f>
        <v>170.52</v>
      </c>
      <c r="L387" s="42"/>
      <c r="M387" s="48">
        <f>SmtRes!DF78</f>
        <v>0.17</v>
      </c>
    </row>
    <row r="388" spans="1:82" ht="14.25">
      <c r="A388" s="42"/>
      <c r="B388" s="42"/>
      <c r="C388" s="42" t="s">
        <v>388</v>
      </c>
      <c r="D388" s="42" t="s">
        <v>390</v>
      </c>
      <c r="E388" s="43" t="s">
        <v>391</v>
      </c>
      <c r="F388" s="47">
        <v>2.0799999999999999E-2</v>
      </c>
      <c r="G388" s="41"/>
      <c r="H388" s="47">
        <f>SmtRes!CX79</f>
        <v>2.0799999999999999E-2</v>
      </c>
      <c r="I388" s="48"/>
      <c r="J388" s="46"/>
      <c r="K388" s="48">
        <f>SmtRes!CZ79</f>
        <v>6.45</v>
      </c>
      <c r="L388" s="42"/>
      <c r="M388" s="48">
        <f>SmtRes!DF79</f>
        <v>0.13</v>
      </c>
    </row>
    <row r="389" spans="1:82" ht="71.25">
      <c r="A389" s="42"/>
      <c r="B389" s="42"/>
      <c r="C389" s="42" t="s">
        <v>392</v>
      </c>
      <c r="D389" s="42" t="s">
        <v>394</v>
      </c>
      <c r="E389" s="43" t="s">
        <v>135</v>
      </c>
      <c r="F389" s="47">
        <v>1</v>
      </c>
      <c r="G389" s="41"/>
      <c r="H389" s="47">
        <f>SmtRes!CX80</f>
        <v>1</v>
      </c>
      <c r="I389" s="48">
        <f>SmtRes!CZ80</f>
        <v>5.87</v>
      </c>
      <c r="J389" s="46">
        <f>SmtRes!AI80</f>
        <v>1.1299999999999999</v>
      </c>
      <c r="K389" s="48">
        <f t="shared" ref="K389:K397" si="2">ROUND(I389*J389, 2)</f>
        <v>6.63</v>
      </c>
      <c r="L389" s="42"/>
      <c r="M389" s="48">
        <f>SmtRes!DF80</f>
        <v>6.63</v>
      </c>
    </row>
    <row r="390" spans="1:82" ht="57">
      <c r="A390" s="42"/>
      <c r="B390" s="42"/>
      <c r="C390" s="42" t="s">
        <v>341</v>
      </c>
      <c r="D390" s="42" t="s">
        <v>343</v>
      </c>
      <c r="E390" s="43" t="s">
        <v>344</v>
      </c>
      <c r="F390" s="47">
        <v>7.0000000000000007E-2</v>
      </c>
      <c r="G390" s="41"/>
      <c r="H390" s="47">
        <f>SmtRes!CX81</f>
        <v>7.0000000000000007E-2</v>
      </c>
      <c r="I390" s="48">
        <f>SmtRes!CZ81</f>
        <v>155.63</v>
      </c>
      <c r="J390" s="46">
        <f>SmtRes!AI81</f>
        <v>1.03</v>
      </c>
      <c r="K390" s="48">
        <f t="shared" si="2"/>
        <v>160.30000000000001</v>
      </c>
      <c r="L390" s="42"/>
      <c r="M390" s="48">
        <f>SmtRes!DF81</f>
        <v>11.22</v>
      </c>
    </row>
    <row r="391" spans="1:82" ht="28.5">
      <c r="A391" s="42"/>
      <c r="B391" s="42"/>
      <c r="C391" s="42" t="s">
        <v>345</v>
      </c>
      <c r="D391" s="42" t="s">
        <v>347</v>
      </c>
      <c r="E391" s="43" t="s">
        <v>344</v>
      </c>
      <c r="F391" s="47">
        <v>4.9000000000000002E-2</v>
      </c>
      <c r="G391" s="41"/>
      <c r="H391" s="47">
        <f>SmtRes!CX82</f>
        <v>4.9000000000000002E-2</v>
      </c>
      <c r="I391" s="48">
        <f>SmtRes!CZ82</f>
        <v>174.93</v>
      </c>
      <c r="J391" s="46">
        <f>SmtRes!AI82</f>
        <v>1.1100000000000001</v>
      </c>
      <c r="K391" s="48">
        <f t="shared" si="2"/>
        <v>194.17</v>
      </c>
      <c r="L391" s="42"/>
      <c r="M391" s="48">
        <f>SmtRes!DF82</f>
        <v>9.51</v>
      </c>
    </row>
    <row r="392" spans="1:82" ht="14.25">
      <c r="A392" s="42"/>
      <c r="B392" s="42"/>
      <c r="C392" s="42" t="s">
        <v>395</v>
      </c>
      <c r="D392" s="42" t="s">
        <v>397</v>
      </c>
      <c r="E392" s="43" t="s">
        <v>44</v>
      </c>
      <c r="F392" s="47">
        <v>1.4E-2</v>
      </c>
      <c r="G392" s="41"/>
      <c r="H392" s="47">
        <f>SmtRes!CX83</f>
        <v>1.4E-2</v>
      </c>
      <c r="I392" s="48">
        <f>SmtRes!CZ83</f>
        <v>41.71</v>
      </c>
      <c r="J392" s="46">
        <f>SmtRes!AI83</f>
        <v>1.1599999999999999</v>
      </c>
      <c r="K392" s="48">
        <f t="shared" si="2"/>
        <v>48.38</v>
      </c>
      <c r="L392" s="42"/>
      <c r="M392" s="48">
        <f>SmtRes!DF83</f>
        <v>0.68</v>
      </c>
    </row>
    <row r="393" spans="1:82" ht="14.25">
      <c r="A393" s="42"/>
      <c r="B393" s="42"/>
      <c r="C393" s="42" t="s">
        <v>398</v>
      </c>
      <c r="D393" s="42" t="s">
        <v>400</v>
      </c>
      <c r="E393" s="43" t="s">
        <v>344</v>
      </c>
      <c r="F393" s="47">
        <v>1E-3</v>
      </c>
      <c r="G393" s="41"/>
      <c r="H393" s="47">
        <f>SmtRes!CX84</f>
        <v>1E-3</v>
      </c>
      <c r="I393" s="48">
        <f>SmtRes!CZ84</f>
        <v>395.65</v>
      </c>
      <c r="J393" s="46">
        <f>SmtRes!AI84</f>
        <v>1.91</v>
      </c>
      <c r="K393" s="48">
        <f t="shared" si="2"/>
        <v>755.69</v>
      </c>
      <c r="L393" s="42"/>
      <c r="M393" s="48">
        <f>SmtRes!DF84</f>
        <v>0.76</v>
      </c>
    </row>
    <row r="394" spans="1:82" ht="42.75">
      <c r="A394" s="42"/>
      <c r="B394" s="42"/>
      <c r="C394" s="42" t="s">
        <v>358</v>
      </c>
      <c r="D394" s="42" t="s">
        <v>360</v>
      </c>
      <c r="E394" s="43" t="s">
        <v>37</v>
      </c>
      <c r="F394" s="47">
        <v>1E-3</v>
      </c>
      <c r="G394" s="41"/>
      <c r="H394" s="47">
        <f>SmtRes!CX85</f>
        <v>1E-3</v>
      </c>
      <c r="I394" s="48">
        <f>SmtRes!CZ85</f>
        <v>105278.81</v>
      </c>
      <c r="J394" s="46">
        <f>SmtRes!AI85</f>
        <v>1.1100000000000001</v>
      </c>
      <c r="K394" s="48">
        <f t="shared" si="2"/>
        <v>116859.48</v>
      </c>
      <c r="L394" s="42"/>
      <c r="M394" s="48">
        <f>SmtRes!DF85</f>
        <v>116.86</v>
      </c>
    </row>
    <row r="395" spans="1:82" ht="28.5">
      <c r="A395" s="42"/>
      <c r="B395" s="42"/>
      <c r="C395" s="42" t="s">
        <v>363</v>
      </c>
      <c r="D395" s="42" t="s">
        <v>365</v>
      </c>
      <c r="E395" s="43" t="s">
        <v>344</v>
      </c>
      <c r="F395" s="47">
        <v>3.5999999999999997E-2</v>
      </c>
      <c r="G395" s="41"/>
      <c r="H395" s="47">
        <f>SmtRes!CX86</f>
        <v>3.5999999999999997E-2</v>
      </c>
      <c r="I395" s="48">
        <f>SmtRes!CZ86</f>
        <v>79.88</v>
      </c>
      <c r="J395" s="46">
        <f>SmtRes!AI86</f>
        <v>1.37</v>
      </c>
      <c r="K395" s="48">
        <f t="shared" si="2"/>
        <v>109.44</v>
      </c>
      <c r="L395" s="42"/>
      <c r="M395" s="48">
        <f>SmtRes!DF86</f>
        <v>3.94</v>
      </c>
    </row>
    <row r="396" spans="1:82" ht="14.25">
      <c r="A396" s="42"/>
      <c r="B396" s="42"/>
      <c r="C396" s="42" t="s">
        <v>401</v>
      </c>
      <c r="D396" s="42" t="s">
        <v>403</v>
      </c>
      <c r="E396" s="43" t="s">
        <v>344</v>
      </c>
      <c r="F396" s="47">
        <v>6.0000000000000001E-3</v>
      </c>
      <c r="G396" s="41"/>
      <c r="H396" s="47">
        <f>SmtRes!CX87</f>
        <v>6.0000000000000001E-3</v>
      </c>
      <c r="I396" s="48">
        <f>SmtRes!CZ87</f>
        <v>135.32</v>
      </c>
      <c r="J396" s="46">
        <f>SmtRes!AI87</f>
        <v>1.1499999999999999</v>
      </c>
      <c r="K396" s="48">
        <f t="shared" si="2"/>
        <v>155.62</v>
      </c>
      <c r="L396" s="42"/>
      <c r="M396" s="48">
        <f>SmtRes!DF87</f>
        <v>0.93</v>
      </c>
    </row>
    <row r="397" spans="1:82" ht="14.25">
      <c r="A397" s="42"/>
      <c r="B397" s="42"/>
      <c r="C397" s="42" t="s">
        <v>375</v>
      </c>
      <c r="D397" s="50" t="s">
        <v>377</v>
      </c>
      <c r="E397" s="51" t="s">
        <v>378</v>
      </c>
      <c r="F397" s="52">
        <v>0.1</v>
      </c>
      <c r="G397" s="53"/>
      <c r="H397" s="52">
        <f>SmtRes!CX88</f>
        <v>0.1</v>
      </c>
      <c r="I397" s="54">
        <f>SmtRes!CZ88</f>
        <v>944.69</v>
      </c>
      <c r="J397" s="55">
        <f>SmtRes!AI88</f>
        <v>1.05</v>
      </c>
      <c r="K397" s="54">
        <f t="shared" si="2"/>
        <v>991.92</v>
      </c>
      <c r="L397" s="50"/>
      <c r="M397" s="54">
        <f>SmtRes!DF88</f>
        <v>99.19</v>
      </c>
    </row>
    <row r="398" spans="1:82" ht="15">
      <c r="A398" s="42"/>
      <c r="B398" s="42"/>
      <c r="C398" s="42"/>
      <c r="D398" s="58" t="s">
        <v>489</v>
      </c>
      <c r="E398" s="43"/>
      <c r="F398" s="47"/>
      <c r="G398" s="41"/>
      <c r="H398" s="47"/>
      <c r="I398" s="48"/>
      <c r="J398" s="46"/>
      <c r="K398" s="48"/>
      <c r="L398" s="42"/>
      <c r="M398" s="48">
        <f>M380+M382+M383+M385</f>
        <v>654.91000000000008</v>
      </c>
    </row>
    <row r="399" spans="1:82" ht="57">
      <c r="A399" s="40" t="s">
        <v>546</v>
      </c>
      <c r="B399" s="42" t="s">
        <v>190</v>
      </c>
      <c r="C399" s="42" t="str">
        <f>Source!F248</f>
        <v>421/пр_2020_п.75_пп.а</v>
      </c>
      <c r="D399" s="42" t="str">
        <f>Source!G248</f>
        <v>Сметная стоимость вспомогательных ненормируемых материальных ресурсов, не учтенная в сметной норме, 2%</v>
      </c>
      <c r="E399" s="43" t="str">
        <f>Source!H248</f>
        <v>%</v>
      </c>
      <c r="F399" s="47">
        <f>SmtRes!AT89</f>
        <v>2</v>
      </c>
      <c r="G399" s="41"/>
      <c r="H399" s="47">
        <f>Source!I248</f>
        <v>2</v>
      </c>
      <c r="I399" s="48"/>
      <c r="J399" s="46"/>
      <c r="K399" s="48"/>
      <c r="L399" s="42"/>
      <c r="M399" s="48">
        <f>Source!P248</f>
        <v>8.0299999999999994</v>
      </c>
      <c r="AD399">
        <f>ROUND((Source!AT248/100)*((ROUND(0*Source!I248, 2)+ROUND(0*Source!I248, 2))), 2)</f>
        <v>0</v>
      </c>
      <c r="AE399">
        <f>ROUND((Source!AU248/100)*((ROUND(0*Source!I248, 2)+ROUND(0*Source!I248, 2))), 2)</f>
        <v>0</v>
      </c>
      <c r="AN399">
        <f>M399</f>
        <v>8.0299999999999994</v>
      </c>
      <c r="AW399">
        <f>M399</f>
        <v>8.0299999999999994</v>
      </c>
      <c r="AZ399">
        <f>Source!X248</f>
        <v>0</v>
      </c>
      <c r="BA399">
        <f>Source!Y248</f>
        <v>0</v>
      </c>
      <c r="CD399">
        <v>4</v>
      </c>
    </row>
    <row r="400" spans="1:82" ht="14.25">
      <c r="A400" s="42"/>
      <c r="B400" s="42"/>
      <c r="C400" s="42"/>
      <c r="D400" s="42" t="s">
        <v>491</v>
      </c>
      <c r="E400" s="43"/>
      <c r="F400" s="47"/>
      <c r="G400" s="41"/>
      <c r="H400" s="47"/>
      <c r="I400" s="48"/>
      <c r="J400" s="46"/>
      <c r="K400" s="48"/>
      <c r="L400" s="42"/>
      <c r="M400" s="48">
        <f>SUM(AR379:AR403)+SUM(AS379:AS403)+SUM(AT379:AT403)+SUM(AU379:AU403)+SUM(AV379:AV403)</f>
        <v>401.62</v>
      </c>
    </row>
    <row r="401" spans="1:82" ht="28.5">
      <c r="A401" s="42"/>
      <c r="B401" s="42"/>
      <c r="C401" s="42" t="s">
        <v>25</v>
      </c>
      <c r="D401" s="42" t="s">
        <v>492</v>
      </c>
      <c r="E401" s="43" t="s">
        <v>30</v>
      </c>
      <c r="F401" s="47">
        <f>Source!BZ247</f>
        <v>97</v>
      </c>
      <c r="G401" s="41"/>
      <c r="H401" s="47">
        <f>Source!AT247</f>
        <v>97</v>
      </c>
      <c r="I401" s="48"/>
      <c r="J401" s="46"/>
      <c r="K401" s="48"/>
      <c r="L401" s="42"/>
      <c r="M401" s="48">
        <f>SUM(AZ379:AZ403)</f>
        <v>389.57</v>
      </c>
    </row>
    <row r="402" spans="1:82" ht="28.5">
      <c r="A402" s="50"/>
      <c r="B402" s="50"/>
      <c r="C402" s="50" t="s">
        <v>26</v>
      </c>
      <c r="D402" s="50" t="s">
        <v>493</v>
      </c>
      <c r="E402" s="51" t="s">
        <v>30</v>
      </c>
      <c r="F402" s="52">
        <f>Source!CA247</f>
        <v>51</v>
      </c>
      <c r="G402" s="53"/>
      <c r="H402" s="52">
        <f>Source!AU247</f>
        <v>51</v>
      </c>
      <c r="I402" s="54"/>
      <c r="J402" s="55"/>
      <c r="K402" s="54"/>
      <c r="L402" s="50"/>
      <c r="M402" s="54">
        <f>SUM(BA379:BA403)</f>
        <v>204.83</v>
      </c>
    </row>
    <row r="403" spans="1:82" ht="15">
      <c r="D403" s="111" t="s">
        <v>494</v>
      </c>
      <c r="E403" s="111"/>
      <c r="F403" s="111"/>
      <c r="G403" s="111"/>
      <c r="H403" s="111"/>
      <c r="I403" s="111"/>
      <c r="J403" s="112">
        <f>L403/F379</f>
        <v>1257.3399999999999</v>
      </c>
      <c r="K403" s="112"/>
      <c r="L403" s="112">
        <f>M380+M382+M385+M401+M402+M383+SUM(M399:M399)</f>
        <v>1257.3399999999999</v>
      </c>
      <c r="M403" s="112"/>
      <c r="AD403">
        <f>ROUND((Source!AT247/100)*((ROUND(SUMIF(SmtRes!AQ75:'SmtRes'!AQ89,"=1",SmtRes!AD75:'SmtRes'!AD89)*Source!I247, 2)+ROUND(SUMIF(SmtRes!AQ75:'SmtRes'!AQ89,"=1",SmtRes!AC75:'SmtRes'!AC89)*Source!I247, 2))), 2)</f>
        <v>290.73</v>
      </c>
      <c r="AE403">
        <f>ROUND((Source!AU247/100)*((ROUND(SUMIF(SmtRes!AQ75:'SmtRes'!AQ89,"=1",SmtRes!AD75:'SmtRes'!AD89)*Source!I247, 2)+ROUND(SUMIF(SmtRes!AQ75:'SmtRes'!AQ89,"=1",SmtRes!AC75:'SmtRes'!AC89)*Source!I247, 2))), 2)</f>
        <v>152.86000000000001</v>
      </c>
      <c r="AN403" s="56">
        <f>M380+M382+M385+M401+M402+M383</f>
        <v>1249.31</v>
      </c>
      <c r="AO403" s="56">
        <f>M382</f>
        <v>1.92</v>
      </c>
      <c r="AQ403" t="s">
        <v>495</v>
      </c>
      <c r="AR403" s="56">
        <f>M380</f>
        <v>401.62</v>
      </c>
      <c r="AT403" s="56">
        <f>M383</f>
        <v>0</v>
      </c>
      <c r="AV403" t="s">
        <v>495</v>
      </c>
      <c r="AW403" s="56">
        <f>M385</f>
        <v>251.37</v>
      </c>
      <c r="AZ403">
        <f>Source!X247</f>
        <v>389.57</v>
      </c>
      <c r="BA403">
        <f>Source!Y247</f>
        <v>204.83</v>
      </c>
      <c r="CD403">
        <v>2</v>
      </c>
    </row>
    <row r="404" spans="1:82" ht="57">
      <c r="A404" s="40" t="s">
        <v>191</v>
      </c>
      <c r="B404" s="42">
        <v>23</v>
      </c>
      <c r="C404" s="42" t="s">
        <v>547</v>
      </c>
      <c r="D404" s="42" t="str">
        <f>Source!G249</f>
        <v>Труба гофрированная ПВХ для защиты проводов и кабелей по установленным конструкциям, по стенам, колоннам, потолкам, основанию пола</v>
      </c>
      <c r="E404" s="43" t="str">
        <f>Source!H249</f>
        <v>100 м</v>
      </c>
      <c r="F404" s="47">
        <f>Source!K249</f>
        <v>0.25</v>
      </c>
      <c r="G404" s="41"/>
      <c r="H404" s="47">
        <f>Source!I249</f>
        <v>0.25</v>
      </c>
      <c r="I404" s="48"/>
      <c r="J404" s="46"/>
      <c r="K404" s="48"/>
      <c r="L404" s="42"/>
      <c r="M404" s="48"/>
    </row>
    <row r="405" spans="1:82">
      <c r="D405" s="60" t="str">
        <f>"Объем: "&amp;Source!I249&amp;"=25/"&amp;"100"</f>
        <v>Объем: 0,25=25/100</v>
      </c>
    </row>
    <row r="406" spans="1:82" ht="15">
      <c r="A406" s="41"/>
      <c r="B406" s="41"/>
      <c r="C406" s="45">
        <v>1</v>
      </c>
      <c r="D406" s="41" t="s">
        <v>483</v>
      </c>
      <c r="E406" s="43" t="s">
        <v>321</v>
      </c>
      <c r="F406" s="47"/>
      <c r="G406" s="45"/>
      <c r="H406" s="47">
        <f>Source!U249</f>
        <v>3.8</v>
      </c>
      <c r="I406" s="45"/>
      <c r="J406" s="45"/>
      <c r="K406" s="45"/>
      <c r="L406" s="45"/>
      <c r="M406" s="49">
        <f>SUM(M407:M407)-SUMIF(CE407:CE407, 1, M407:M407)</f>
        <v>1100.25</v>
      </c>
    </row>
    <row r="407" spans="1:82" ht="28.5">
      <c r="A407" s="42"/>
      <c r="B407" s="42"/>
      <c r="C407" s="42" t="s">
        <v>406</v>
      </c>
      <c r="D407" s="42" t="s">
        <v>407</v>
      </c>
      <c r="E407" s="43" t="s">
        <v>321</v>
      </c>
      <c r="F407" s="47">
        <v>15.2</v>
      </c>
      <c r="G407" s="41"/>
      <c r="H407" s="47">
        <f>SmtRes!CX90</f>
        <v>3.8</v>
      </c>
      <c r="I407" s="48"/>
      <c r="J407" s="46"/>
      <c r="K407" s="48">
        <f>SmtRes!CZ90</f>
        <v>289.54000000000002</v>
      </c>
      <c r="L407" s="42"/>
      <c r="M407" s="48">
        <f>SmtRes!DI90</f>
        <v>1100.25</v>
      </c>
    </row>
    <row r="408" spans="1:82" ht="15">
      <c r="A408" s="41"/>
      <c r="B408" s="41"/>
      <c r="C408" s="45">
        <v>4</v>
      </c>
      <c r="D408" s="41" t="s">
        <v>488</v>
      </c>
      <c r="E408" s="43"/>
      <c r="F408" s="47"/>
      <c r="G408" s="45"/>
      <c r="H408" s="47"/>
      <c r="I408" s="45"/>
      <c r="J408" s="45"/>
      <c r="K408" s="45"/>
      <c r="L408" s="45"/>
      <c r="M408" s="49">
        <f>SUM(M409:M410)-SUMIF(CE409:CE410, 1, M409:M410)</f>
        <v>35.17</v>
      </c>
    </row>
    <row r="409" spans="1:82" ht="14.25">
      <c r="A409" s="42"/>
      <c r="B409" s="42"/>
      <c r="C409" s="42" t="s">
        <v>388</v>
      </c>
      <c r="D409" s="42" t="s">
        <v>390</v>
      </c>
      <c r="E409" s="43" t="s">
        <v>391</v>
      </c>
      <c r="F409" s="47">
        <v>5.3376000000000001</v>
      </c>
      <c r="G409" s="41"/>
      <c r="H409" s="47">
        <f>SmtRes!CX91</f>
        <v>1.3344</v>
      </c>
      <c r="I409" s="48"/>
      <c r="J409" s="46"/>
      <c r="K409" s="48">
        <f>SmtRes!CZ91</f>
        <v>6.45</v>
      </c>
      <c r="L409" s="42"/>
      <c r="M409" s="48">
        <f>SmtRes!DF91</f>
        <v>8.61</v>
      </c>
    </row>
    <row r="410" spans="1:82" ht="42.75">
      <c r="A410" s="42"/>
      <c r="B410" s="42"/>
      <c r="C410" s="42" t="s">
        <v>408</v>
      </c>
      <c r="D410" s="50" t="s">
        <v>410</v>
      </c>
      <c r="E410" s="51" t="s">
        <v>44</v>
      </c>
      <c r="F410" s="52">
        <v>1.75</v>
      </c>
      <c r="G410" s="53"/>
      <c r="H410" s="52">
        <f>SmtRes!CX92</f>
        <v>0.4375</v>
      </c>
      <c r="I410" s="54">
        <f>SmtRes!CZ92</f>
        <v>52.34</v>
      </c>
      <c r="J410" s="55">
        <f>SmtRes!AI92</f>
        <v>1.1599999999999999</v>
      </c>
      <c r="K410" s="54">
        <f>ROUND(I410*J410, 2)</f>
        <v>60.71</v>
      </c>
      <c r="L410" s="50"/>
      <c r="M410" s="54">
        <f>SmtRes!DF92</f>
        <v>26.56</v>
      </c>
    </row>
    <row r="411" spans="1:82" ht="15">
      <c r="A411" s="42"/>
      <c r="B411" s="42"/>
      <c r="C411" s="42"/>
      <c r="D411" s="58" t="s">
        <v>489</v>
      </c>
      <c r="E411" s="43"/>
      <c r="F411" s="47"/>
      <c r="G411" s="41"/>
      <c r="H411" s="47"/>
      <c r="I411" s="48"/>
      <c r="J411" s="46"/>
      <c r="K411" s="48"/>
      <c r="L411" s="42"/>
      <c r="M411" s="48">
        <f>M406+M408</f>
        <v>1135.42</v>
      </c>
    </row>
    <row r="412" spans="1:82" ht="57">
      <c r="A412" s="40" t="s">
        <v>548</v>
      </c>
      <c r="B412" s="42" t="s">
        <v>196</v>
      </c>
      <c r="C412" s="42" t="str">
        <f>Source!F250</f>
        <v>421/пр_2020_п.75_пп.а</v>
      </c>
      <c r="D412" s="42" t="str">
        <f>Source!G250</f>
        <v>Сметная стоимость вспомогательных ненормируемых материальных ресурсов, не учтенная в сметной норме, 2%</v>
      </c>
      <c r="E412" s="43" t="str">
        <f>Source!H250</f>
        <v>%</v>
      </c>
      <c r="F412" s="47">
        <f>SmtRes!AT93</f>
        <v>2</v>
      </c>
      <c r="G412" s="41"/>
      <c r="H412" s="47">
        <f>Source!I250</f>
        <v>2</v>
      </c>
      <c r="I412" s="48"/>
      <c r="J412" s="46"/>
      <c r="K412" s="48"/>
      <c r="L412" s="42"/>
      <c r="M412" s="48">
        <f>Source!P250</f>
        <v>22.01</v>
      </c>
      <c r="AD412">
        <f>ROUND((Source!AT250/100)*((ROUND(0*Source!I250, 2)+ROUND(0*Source!I250, 2))), 2)</f>
        <v>0</v>
      </c>
      <c r="AE412">
        <f>ROUND((Source!AU250/100)*((ROUND(0*Source!I250, 2)+ROUND(0*Source!I250, 2))), 2)</f>
        <v>0</v>
      </c>
      <c r="AN412">
        <f>M412</f>
        <v>22.01</v>
      </c>
      <c r="AW412">
        <f>M412</f>
        <v>22.01</v>
      </c>
      <c r="AZ412">
        <f>Source!X250</f>
        <v>0</v>
      </c>
      <c r="BA412">
        <f>Source!Y250</f>
        <v>0</v>
      </c>
      <c r="CD412">
        <v>4</v>
      </c>
    </row>
    <row r="413" spans="1:82" ht="14.25">
      <c r="A413" s="42"/>
      <c r="B413" s="42"/>
      <c r="C413" s="42"/>
      <c r="D413" s="42" t="s">
        <v>491</v>
      </c>
      <c r="E413" s="43"/>
      <c r="F413" s="47"/>
      <c r="G413" s="41"/>
      <c r="H413" s="47"/>
      <c r="I413" s="48"/>
      <c r="J413" s="46"/>
      <c r="K413" s="48"/>
      <c r="L413" s="42"/>
      <c r="M413" s="48">
        <f>SUM(AR404:AR416)+SUM(AS404:AS416)+SUM(AT404:AT416)+SUM(AU404:AU416)+SUM(AV404:AV416)</f>
        <v>1100.25</v>
      </c>
    </row>
    <row r="414" spans="1:82" ht="28.5">
      <c r="A414" s="42"/>
      <c r="B414" s="42"/>
      <c r="C414" s="42" t="s">
        <v>25</v>
      </c>
      <c r="D414" s="42" t="s">
        <v>492</v>
      </c>
      <c r="E414" s="43" t="s">
        <v>30</v>
      </c>
      <c r="F414" s="47">
        <f>Source!BZ249</f>
        <v>97</v>
      </c>
      <c r="G414" s="41"/>
      <c r="H414" s="47">
        <f>Source!AT249</f>
        <v>97</v>
      </c>
      <c r="I414" s="48"/>
      <c r="J414" s="46"/>
      <c r="K414" s="48"/>
      <c r="L414" s="42"/>
      <c r="M414" s="48">
        <f>SUM(AZ404:AZ416)</f>
        <v>1067.24</v>
      </c>
    </row>
    <row r="415" spans="1:82" ht="28.5">
      <c r="A415" s="50"/>
      <c r="B415" s="50"/>
      <c r="C415" s="50" t="s">
        <v>26</v>
      </c>
      <c r="D415" s="50" t="s">
        <v>493</v>
      </c>
      <c r="E415" s="51" t="s">
        <v>30</v>
      </c>
      <c r="F415" s="52">
        <f>Source!CA249</f>
        <v>51</v>
      </c>
      <c r="G415" s="53"/>
      <c r="H415" s="52">
        <f>Source!AU249</f>
        <v>51</v>
      </c>
      <c r="I415" s="54"/>
      <c r="J415" s="55"/>
      <c r="K415" s="54"/>
      <c r="L415" s="50"/>
      <c r="M415" s="54">
        <f>SUM(BA404:BA416)</f>
        <v>561.13</v>
      </c>
    </row>
    <row r="416" spans="1:82" ht="15">
      <c r="D416" s="111" t="s">
        <v>494</v>
      </c>
      <c r="E416" s="111"/>
      <c r="F416" s="111"/>
      <c r="G416" s="111"/>
      <c r="H416" s="111"/>
      <c r="I416" s="111"/>
      <c r="J416" s="112">
        <f>L416/F404</f>
        <v>11143.2</v>
      </c>
      <c r="K416" s="112"/>
      <c r="L416" s="112">
        <f>M406+M408+M414+M415+SUM(M412:M412)</f>
        <v>2785.8</v>
      </c>
      <c r="M416" s="112"/>
      <c r="AD416">
        <f>ROUND((Source!AT249/100)*((ROUND(SUMIF(SmtRes!AQ90:'SmtRes'!AQ93,"=1",SmtRes!AD90:'SmtRes'!AD93)*Source!I249, 2)+ROUND(SUMIF(SmtRes!AQ90:'SmtRes'!AQ93,"=1",SmtRes!AC90:'SmtRes'!AC93)*Source!I249, 2))), 2)</f>
        <v>70.22</v>
      </c>
      <c r="AE416">
        <f>ROUND((Source!AU249/100)*((ROUND(SUMIF(SmtRes!AQ90:'SmtRes'!AQ93,"=1",SmtRes!AD90:'SmtRes'!AD93)*Source!I249, 2)+ROUND(SUMIF(SmtRes!AQ90:'SmtRes'!AQ93,"=1",SmtRes!AC90:'SmtRes'!AC93)*Source!I249, 2))), 2)</f>
        <v>36.92</v>
      </c>
      <c r="AN416" s="56">
        <f>M406+M408+M414+M415</f>
        <v>2763.79</v>
      </c>
      <c r="AO416">
        <f>0</f>
        <v>0</v>
      </c>
      <c r="AQ416" t="s">
        <v>495</v>
      </c>
      <c r="AR416" s="56">
        <f>M406</f>
        <v>1100.25</v>
      </c>
      <c r="AT416">
        <f>0</f>
        <v>0</v>
      </c>
      <c r="AV416" t="s">
        <v>495</v>
      </c>
      <c r="AW416" s="56">
        <f>M408</f>
        <v>35.17</v>
      </c>
      <c r="AZ416">
        <f>Source!X249</f>
        <v>1067.24</v>
      </c>
      <c r="BA416">
        <f>Source!Y249</f>
        <v>561.13</v>
      </c>
      <c r="CD416">
        <v>2</v>
      </c>
    </row>
    <row r="417" spans="1:83" ht="42.75">
      <c r="A417" s="40" t="s">
        <v>197</v>
      </c>
      <c r="B417" s="42">
        <v>24</v>
      </c>
      <c r="C417" s="42" t="s">
        <v>549</v>
      </c>
      <c r="D417" s="42" t="str">
        <f>Source!G251</f>
        <v>Кабель до 35 кВ в проложенных трубах, блоках и коробах, масса 1 м кабеля: до 1 кг</v>
      </c>
      <c r="E417" s="43" t="str">
        <f>Source!H251</f>
        <v>100 м</v>
      </c>
      <c r="F417" s="47">
        <f>Source!K251</f>
        <v>0.25</v>
      </c>
      <c r="G417" s="41"/>
      <c r="H417" s="47">
        <f>Source!I251</f>
        <v>0.25</v>
      </c>
      <c r="I417" s="48"/>
      <c r="J417" s="46"/>
      <c r="K417" s="48"/>
      <c r="L417" s="42"/>
      <c r="M417" s="48"/>
    </row>
    <row r="418" spans="1:83">
      <c r="D418" s="60" t="str">
        <f>"Объем: "&amp;Source!I251&amp;"=25/"&amp;"100"</f>
        <v>Объем: 0,25=25/100</v>
      </c>
    </row>
    <row r="419" spans="1:83" ht="15">
      <c r="A419" s="41"/>
      <c r="B419" s="41"/>
      <c r="C419" s="45">
        <v>1</v>
      </c>
      <c r="D419" s="41" t="s">
        <v>483</v>
      </c>
      <c r="E419" s="43" t="s">
        <v>321</v>
      </c>
      <c r="F419" s="47"/>
      <c r="G419" s="45"/>
      <c r="H419" s="47">
        <f>Source!U251</f>
        <v>2.48</v>
      </c>
      <c r="I419" s="45"/>
      <c r="J419" s="45"/>
      <c r="K419" s="45"/>
      <c r="L419" s="45"/>
      <c r="M419" s="49">
        <f>SUM(M420:M420)-SUMIF(CE420:CE420, 1, M420:M420)</f>
        <v>734.87</v>
      </c>
    </row>
    <row r="420" spans="1:83" ht="28.5">
      <c r="A420" s="42"/>
      <c r="B420" s="42"/>
      <c r="C420" s="42" t="s">
        <v>361</v>
      </c>
      <c r="D420" s="42" t="s">
        <v>362</v>
      </c>
      <c r="E420" s="43" t="s">
        <v>321</v>
      </c>
      <c r="F420" s="47">
        <v>9.92</v>
      </c>
      <c r="G420" s="41"/>
      <c r="H420" s="47">
        <f>SmtRes!CX94</f>
        <v>2.48</v>
      </c>
      <c r="I420" s="48"/>
      <c r="J420" s="46"/>
      <c r="K420" s="48">
        <f>SmtRes!CZ94</f>
        <v>296.32</v>
      </c>
      <c r="L420" s="42"/>
      <c r="M420" s="48">
        <f>SmtRes!DI94</f>
        <v>734.87</v>
      </c>
    </row>
    <row r="421" spans="1:83" ht="15">
      <c r="A421" s="41"/>
      <c r="B421" s="41"/>
      <c r="C421" s="45">
        <v>2</v>
      </c>
      <c r="D421" s="41" t="s">
        <v>484</v>
      </c>
      <c r="E421" s="43"/>
      <c r="F421" s="47"/>
      <c r="G421" s="45"/>
      <c r="H421" s="47"/>
      <c r="I421" s="45"/>
      <c r="J421" s="45"/>
      <c r="K421" s="45"/>
      <c r="L421" s="45"/>
      <c r="M421" s="49">
        <f>SUM(M422:M428)-SUMIF(CE422:CE428, 1, M422:M428)</f>
        <v>108.32999999999998</v>
      </c>
    </row>
    <row r="422" spans="1:83" ht="15">
      <c r="A422" s="41"/>
      <c r="B422" s="41"/>
      <c r="C422" s="45"/>
      <c r="D422" s="41" t="s">
        <v>487</v>
      </c>
      <c r="E422" s="43" t="s">
        <v>321</v>
      </c>
      <c r="F422" s="47"/>
      <c r="G422" s="45"/>
      <c r="H422" s="47">
        <f>Source!V251</f>
        <v>1.3</v>
      </c>
      <c r="I422" s="45"/>
      <c r="J422" s="45"/>
      <c r="K422" s="45"/>
      <c r="L422" s="45"/>
      <c r="M422" s="49">
        <f>SUMIF(CE423:CE428, 1, M423:M428)</f>
        <v>35.519999999999996</v>
      </c>
      <c r="CE422">
        <v>1</v>
      </c>
    </row>
    <row r="423" spans="1:83" ht="28.5">
      <c r="A423" s="42"/>
      <c r="B423" s="42"/>
      <c r="C423" s="42" t="s">
        <v>324</v>
      </c>
      <c r="D423" s="42" t="s">
        <v>326</v>
      </c>
      <c r="E423" s="43" t="s">
        <v>327</v>
      </c>
      <c r="F423" s="47">
        <v>0.2</v>
      </c>
      <c r="G423" s="41"/>
      <c r="H423" s="47">
        <f>SmtRes!CX96</f>
        <v>0.05</v>
      </c>
      <c r="I423" s="48"/>
      <c r="J423" s="46"/>
      <c r="K423" s="48">
        <f>SmtRes!CZ96</f>
        <v>1442.85</v>
      </c>
      <c r="L423" s="42"/>
      <c r="M423" s="48">
        <f>SmtRes!DG96</f>
        <v>72.14</v>
      </c>
    </row>
    <row r="424" spans="1:83" ht="28.5">
      <c r="A424" s="42"/>
      <c r="B424" s="42"/>
      <c r="C424" s="42" t="s">
        <v>328</v>
      </c>
      <c r="D424" s="42" t="s">
        <v>485</v>
      </c>
      <c r="E424" s="43" t="s">
        <v>321</v>
      </c>
      <c r="F424" s="47">
        <f>SmtRes!DO96*SmtRes!AT96</f>
        <v>0.2</v>
      </c>
      <c r="G424" s="41"/>
      <c r="H424" s="47">
        <f>SmtRes!DO96*SmtRes!CX96</f>
        <v>0.05</v>
      </c>
      <c r="I424" s="48"/>
      <c r="J424" s="46"/>
      <c r="K424" s="48">
        <f>ROUND(SmtRes!AG96/SmtRes!DO96, 2)</f>
        <v>407.16</v>
      </c>
      <c r="L424" s="42"/>
      <c r="M424" s="48">
        <f>SmtRes!DH96</f>
        <v>20.36</v>
      </c>
      <c r="CE424">
        <v>1</v>
      </c>
    </row>
    <row r="425" spans="1:83" ht="28.5">
      <c r="A425" s="42"/>
      <c r="B425" s="42"/>
      <c r="C425" s="42" t="s">
        <v>411</v>
      </c>
      <c r="D425" s="42" t="s">
        <v>413</v>
      </c>
      <c r="E425" s="43" t="s">
        <v>327</v>
      </c>
      <c r="F425" s="47">
        <v>2.4</v>
      </c>
      <c r="G425" s="41"/>
      <c r="H425" s="47">
        <f>SmtRes!CX97</f>
        <v>0.6</v>
      </c>
      <c r="I425" s="48">
        <f>SmtRes!CZ97</f>
        <v>1.75</v>
      </c>
      <c r="J425" s="46">
        <f>SmtRes!AJ97</f>
        <v>1.38</v>
      </c>
      <c r="K425" s="48">
        <f>ROUND(I425*J425, 2)</f>
        <v>2.42</v>
      </c>
      <c r="L425" s="42"/>
      <c r="M425" s="48">
        <f>SmtRes!DG97</f>
        <v>1.45</v>
      </c>
    </row>
    <row r="426" spans="1:83" ht="28.5">
      <c r="A426" s="42"/>
      <c r="B426" s="42"/>
      <c r="C426" s="42" t="s">
        <v>414</v>
      </c>
      <c r="D426" s="42" t="s">
        <v>416</v>
      </c>
      <c r="E426" s="43" t="s">
        <v>327</v>
      </c>
      <c r="F426" s="47">
        <v>2.4</v>
      </c>
      <c r="G426" s="41"/>
      <c r="H426" s="47">
        <f>SmtRes!CX98</f>
        <v>0.6</v>
      </c>
      <c r="I426" s="48">
        <f>SmtRes!CZ98</f>
        <v>8.84</v>
      </c>
      <c r="J426" s="46">
        <f>SmtRes!AJ98</f>
        <v>1.29</v>
      </c>
      <c r="K426" s="48">
        <f>ROUND(I426*J426, 2)</f>
        <v>11.4</v>
      </c>
      <c r="L426" s="42"/>
      <c r="M426" s="48">
        <f>SmtRes!DG98</f>
        <v>6.84</v>
      </c>
    </row>
    <row r="427" spans="1:83" ht="28.5">
      <c r="A427" s="42"/>
      <c r="B427" s="42"/>
      <c r="C427" s="42" t="s">
        <v>329</v>
      </c>
      <c r="D427" s="42" t="s">
        <v>331</v>
      </c>
      <c r="E427" s="43" t="s">
        <v>327</v>
      </c>
      <c r="F427" s="47">
        <v>0.2</v>
      </c>
      <c r="G427" s="41"/>
      <c r="H427" s="47">
        <f>SmtRes!CX99</f>
        <v>0.05</v>
      </c>
      <c r="I427" s="48"/>
      <c r="J427" s="46"/>
      <c r="K427" s="48">
        <f>SmtRes!CZ99</f>
        <v>557.94000000000005</v>
      </c>
      <c r="L427" s="42"/>
      <c r="M427" s="48">
        <f>SmtRes!DG99</f>
        <v>27.9</v>
      </c>
    </row>
    <row r="428" spans="1:83" ht="28.5">
      <c r="A428" s="42"/>
      <c r="B428" s="42"/>
      <c r="C428" s="42" t="s">
        <v>332</v>
      </c>
      <c r="D428" s="42" t="s">
        <v>486</v>
      </c>
      <c r="E428" s="43" t="s">
        <v>321</v>
      </c>
      <c r="F428" s="47">
        <f>SmtRes!DO99*SmtRes!AT99</f>
        <v>0.2</v>
      </c>
      <c r="G428" s="41"/>
      <c r="H428" s="47">
        <f>SmtRes!DO99*SmtRes!CX99</f>
        <v>0.05</v>
      </c>
      <c r="I428" s="48"/>
      <c r="J428" s="46"/>
      <c r="K428" s="48">
        <f>ROUND(SmtRes!AG99/SmtRes!DO99, 2)</f>
        <v>303.11</v>
      </c>
      <c r="L428" s="42"/>
      <c r="M428" s="48">
        <f>SmtRes!DH99</f>
        <v>15.16</v>
      </c>
      <c r="CE428">
        <v>1</v>
      </c>
    </row>
    <row r="429" spans="1:83" ht="15">
      <c r="A429" s="41"/>
      <c r="B429" s="41"/>
      <c r="C429" s="45">
        <v>4</v>
      </c>
      <c r="D429" s="41" t="s">
        <v>488</v>
      </c>
      <c r="E429" s="43"/>
      <c r="F429" s="47"/>
      <c r="G429" s="45"/>
      <c r="H429" s="47"/>
      <c r="I429" s="45"/>
      <c r="J429" s="45"/>
      <c r="K429" s="45"/>
      <c r="L429" s="45"/>
      <c r="M429" s="49">
        <f>SUM(M430:M432)-SUMIF(CE430:CE432, 1, M430:M432)</f>
        <v>104.03</v>
      </c>
    </row>
    <row r="430" spans="1:83" ht="57">
      <c r="A430" s="42"/>
      <c r="B430" s="42"/>
      <c r="C430" s="42" t="s">
        <v>417</v>
      </c>
      <c r="D430" s="42" t="s">
        <v>419</v>
      </c>
      <c r="E430" s="43" t="s">
        <v>420</v>
      </c>
      <c r="F430" s="47">
        <v>9.6000000000000002E-2</v>
      </c>
      <c r="G430" s="41"/>
      <c r="H430" s="47">
        <f>SmtRes!CX100</f>
        <v>2.4E-2</v>
      </c>
      <c r="I430" s="48">
        <f>SmtRes!CZ100</f>
        <v>37.71</v>
      </c>
      <c r="J430" s="46">
        <f>SmtRes!AI100</f>
        <v>1.41</v>
      </c>
      <c r="K430" s="48">
        <f>ROUND(I430*J430, 2)</f>
        <v>53.17</v>
      </c>
      <c r="L430" s="42"/>
      <c r="M430" s="48">
        <f>SmtRes!DF100</f>
        <v>1.28</v>
      </c>
    </row>
    <row r="431" spans="1:83" ht="28.5">
      <c r="A431" s="42"/>
      <c r="B431" s="42"/>
      <c r="C431" s="42" t="s">
        <v>421</v>
      </c>
      <c r="D431" s="42" t="s">
        <v>423</v>
      </c>
      <c r="E431" s="43" t="s">
        <v>344</v>
      </c>
      <c r="F431" s="47">
        <v>0.5</v>
      </c>
      <c r="G431" s="41"/>
      <c r="H431" s="47">
        <f>SmtRes!CX101</f>
        <v>0.125</v>
      </c>
      <c r="I431" s="48">
        <f>SmtRes!CZ101</f>
        <v>931.11</v>
      </c>
      <c r="J431" s="46">
        <f>SmtRes!AI101</f>
        <v>0.87</v>
      </c>
      <c r="K431" s="48">
        <f>ROUND(I431*J431, 2)</f>
        <v>810.07</v>
      </c>
      <c r="L431" s="42"/>
      <c r="M431" s="48">
        <f>SmtRes!DF101</f>
        <v>101.26</v>
      </c>
    </row>
    <row r="432" spans="1:83" ht="14.25">
      <c r="A432" s="42"/>
      <c r="B432" s="42"/>
      <c r="C432" s="42" t="s">
        <v>424</v>
      </c>
      <c r="D432" s="50" t="s">
        <v>426</v>
      </c>
      <c r="E432" s="51" t="s">
        <v>37</v>
      </c>
      <c r="F432" s="52">
        <v>6.0000000000000002E-5</v>
      </c>
      <c r="G432" s="53"/>
      <c r="H432" s="52">
        <f>SmtRes!CX102</f>
        <v>1.5E-5</v>
      </c>
      <c r="I432" s="54">
        <f>SmtRes!CZ102</f>
        <v>82698.14</v>
      </c>
      <c r="J432" s="55">
        <f>SmtRes!AI102</f>
        <v>1.2</v>
      </c>
      <c r="K432" s="54">
        <f>ROUND(I432*J432, 2)</f>
        <v>99237.77</v>
      </c>
      <c r="L432" s="50"/>
      <c r="M432" s="54">
        <f>SmtRes!DF102</f>
        <v>1.49</v>
      </c>
    </row>
    <row r="433" spans="1:83" ht="15">
      <c r="A433" s="42"/>
      <c r="B433" s="42"/>
      <c r="C433" s="42"/>
      <c r="D433" s="58" t="s">
        <v>489</v>
      </c>
      <c r="E433" s="43"/>
      <c r="F433" s="47"/>
      <c r="G433" s="41"/>
      <c r="H433" s="47"/>
      <c r="I433" s="48"/>
      <c r="J433" s="46"/>
      <c r="K433" s="48"/>
      <c r="L433" s="42"/>
      <c r="M433" s="48">
        <f>M419+M421+M422+M429</f>
        <v>982.75</v>
      </c>
    </row>
    <row r="434" spans="1:83" ht="57">
      <c r="A434" s="40" t="s">
        <v>550</v>
      </c>
      <c r="B434" s="42" t="s">
        <v>201</v>
      </c>
      <c r="C434" s="42" t="str">
        <f>Source!F252</f>
        <v>421/пр_2020_п.75_пп.а</v>
      </c>
      <c r="D434" s="42" t="str">
        <f>Source!G252</f>
        <v>Сметная стоимость вспомогательных ненормируемых материальных ресурсов, не учтенная в сметной норме, 2%</v>
      </c>
      <c r="E434" s="43" t="str">
        <f>Source!H252</f>
        <v>%</v>
      </c>
      <c r="F434" s="47">
        <f>SmtRes!AT103</f>
        <v>2</v>
      </c>
      <c r="G434" s="41"/>
      <c r="H434" s="47">
        <f>Source!I252</f>
        <v>2</v>
      </c>
      <c r="I434" s="48"/>
      <c r="J434" s="46"/>
      <c r="K434" s="48"/>
      <c r="L434" s="42"/>
      <c r="M434" s="48">
        <f>Source!P252</f>
        <v>14.7</v>
      </c>
      <c r="AD434">
        <f>ROUND((Source!AT252/100)*((ROUND(0*Source!I252, 2)+ROUND(0*Source!I252, 2))), 2)</f>
        <v>0</v>
      </c>
      <c r="AE434">
        <f>ROUND((Source!AU252/100)*((ROUND(0*Source!I252, 2)+ROUND(0*Source!I252, 2))), 2)</f>
        <v>0</v>
      </c>
      <c r="AN434">
        <f>M434</f>
        <v>14.7</v>
      </c>
      <c r="AW434">
        <f>M434</f>
        <v>14.7</v>
      </c>
      <c r="AZ434">
        <f>Source!X252</f>
        <v>0</v>
      </c>
      <c r="BA434">
        <f>Source!Y252</f>
        <v>0</v>
      </c>
      <c r="CD434">
        <v>4</v>
      </c>
    </row>
    <row r="435" spans="1:83" ht="14.25">
      <c r="A435" s="42"/>
      <c r="B435" s="42"/>
      <c r="C435" s="42"/>
      <c r="D435" s="42" t="s">
        <v>491</v>
      </c>
      <c r="E435" s="43"/>
      <c r="F435" s="47"/>
      <c r="G435" s="41"/>
      <c r="H435" s="47"/>
      <c r="I435" s="48"/>
      <c r="J435" s="46"/>
      <c r="K435" s="48"/>
      <c r="L435" s="42"/>
      <c r="M435" s="48">
        <f>SUM(AR417:AR438)+SUM(AS417:AS438)+SUM(AT417:AT438)+SUM(AU417:AU438)+SUM(AV417:AV438)</f>
        <v>770.39</v>
      </c>
    </row>
    <row r="436" spans="1:83" ht="28.5">
      <c r="A436" s="42"/>
      <c r="B436" s="42"/>
      <c r="C436" s="42" t="s">
        <v>25</v>
      </c>
      <c r="D436" s="42" t="s">
        <v>492</v>
      </c>
      <c r="E436" s="43" t="s">
        <v>30</v>
      </c>
      <c r="F436" s="47">
        <f>Source!BZ251</f>
        <v>97</v>
      </c>
      <c r="G436" s="41"/>
      <c r="H436" s="47">
        <f>Source!AT251</f>
        <v>97</v>
      </c>
      <c r="I436" s="48"/>
      <c r="J436" s="46"/>
      <c r="K436" s="48"/>
      <c r="L436" s="42"/>
      <c r="M436" s="48">
        <f>SUM(AZ417:AZ438)</f>
        <v>747.28</v>
      </c>
    </row>
    <row r="437" spans="1:83" ht="28.5">
      <c r="A437" s="50"/>
      <c r="B437" s="50"/>
      <c r="C437" s="50" t="s">
        <v>26</v>
      </c>
      <c r="D437" s="50" t="s">
        <v>493</v>
      </c>
      <c r="E437" s="51" t="s">
        <v>30</v>
      </c>
      <c r="F437" s="52">
        <f>Source!CA251</f>
        <v>51</v>
      </c>
      <c r="G437" s="53"/>
      <c r="H437" s="52">
        <f>Source!AU251</f>
        <v>51</v>
      </c>
      <c r="I437" s="54"/>
      <c r="J437" s="55"/>
      <c r="K437" s="54"/>
      <c r="L437" s="50"/>
      <c r="M437" s="54">
        <f>SUM(BA417:BA438)</f>
        <v>392.9</v>
      </c>
    </row>
    <row r="438" spans="1:83" ht="15">
      <c r="D438" s="111" t="s">
        <v>494</v>
      </c>
      <c r="E438" s="111"/>
      <c r="F438" s="111"/>
      <c r="G438" s="111"/>
      <c r="H438" s="111"/>
      <c r="I438" s="111"/>
      <c r="J438" s="112">
        <f>L438/F417</f>
        <v>8550.5199999999986</v>
      </c>
      <c r="K438" s="112"/>
      <c r="L438" s="112">
        <f>M419+M421+M429+M436+M437+M422+SUM(M434:M434)</f>
        <v>2137.6299999999997</v>
      </c>
      <c r="M438" s="112"/>
      <c r="AD438">
        <f>ROUND((Source!AT251/100)*((ROUND(SUMIF(SmtRes!AQ94:'SmtRes'!AQ103,"=1",SmtRes!AD94:'SmtRes'!AD103)*Source!I251, 2)+ROUND(SUMIF(SmtRes!AQ94:'SmtRes'!AQ103,"=1",SmtRes!AC94:'SmtRes'!AC103)*Source!I251, 2))), 2)</f>
        <v>244.1</v>
      </c>
      <c r="AE438">
        <f>ROUND((Source!AU251/100)*((ROUND(SUMIF(SmtRes!AQ94:'SmtRes'!AQ103,"=1",SmtRes!AD94:'SmtRes'!AD103)*Source!I251, 2)+ROUND(SUMIF(SmtRes!AQ94:'SmtRes'!AQ103,"=1",SmtRes!AC94:'SmtRes'!AC103)*Source!I251, 2))), 2)</f>
        <v>128.34</v>
      </c>
      <c r="AN438" s="56">
        <f>M419+M421+M429+M436+M437+M422</f>
        <v>2122.9299999999998</v>
      </c>
      <c r="AO438" s="56">
        <f>M421</f>
        <v>108.32999999999998</v>
      </c>
      <c r="AQ438" t="s">
        <v>495</v>
      </c>
      <c r="AR438" s="56">
        <f>M419</f>
        <v>734.87</v>
      </c>
      <c r="AT438" s="56">
        <f>M422</f>
        <v>35.519999999999996</v>
      </c>
      <c r="AV438" t="s">
        <v>495</v>
      </c>
      <c r="AW438" s="56">
        <f>M429</f>
        <v>104.03</v>
      </c>
      <c r="AZ438">
        <f>Source!X251</f>
        <v>747.28</v>
      </c>
      <c r="BA438">
        <f>Source!Y251</f>
        <v>392.9</v>
      </c>
      <c r="CD438">
        <v>2</v>
      </c>
    </row>
    <row r="439" spans="1:83" ht="28.5">
      <c r="A439" s="40" t="s">
        <v>202</v>
      </c>
      <c r="B439" s="42">
        <v>25</v>
      </c>
      <c r="C439" s="42" t="s">
        <v>551</v>
      </c>
      <c r="D439" s="42" t="str">
        <f>Source!G253</f>
        <v>Заземлитель горизонтальный из стали: полосовой сечением 160 мм2</v>
      </c>
      <c r="E439" s="43" t="str">
        <f>Source!H253</f>
        <v>100 м</v>
      </c>
      <c r="F439" s="47">
        <f>Source!K253</f>
        <v>0.02</v>
      </c>
      <c r="G439" s="41"/>
      <c r="H439" s="47">
        <f>Source!I253</f>
        <v>0.02</v>
      </c>
      <c r="I439" s="48"/>
      <c r="J439" s="46"/>
      <c r="K439" s="48"/>
      <c r="L439" s="42"/>
      <c r="M439" s="48"/>
    </row>
    <row r="440" spans="1:83">
      <c r="D440" s="60" t="str">
        <f>"Объем: "&amp;Source!I253&amp;"=2/"&amp;"100"</f>
        <v>Объем: 0,02=2/100</v>
      </c>
    </row>
    <row r="441" spans="1:83" ht="15">
      <c r="A441" s="41"/>
      <c r="B441" s="41"/>
      <c r="C441" s="45">
        <v>1</v>
      </c>
      <c r="D441" s="41" t="s">
        <v>483</v>
      </c>
      <c r="E441" s="43" t="s">
        <v>321</v>
      </c>
      <c r="F441" s="47"/>
      <c r="G441" s="45"/>
      <c r="H441" s="47">
        <f>Source!U253</f>
        <v>0.28799999999999998</v>
      </c>
      <c r="I441" s="45"/>
      <c r="J441" s="45"/>
      <c r="K441" s="45"/>
      <c r="L441" s="45"/>
      <c r="M441" s="49">
        <f>SUM(M442:M442)-SUMIF(CE442:CE442, 1, M442:M442)</f>
        <v>85.34</v>
      </c>
    </row>
    <row r="442" spans="1:83" ht="28.5">
      <c r="A442" s="42"/>
      <c r="B442" s="42"/>
      <c r="C442" s="42" t="s">
        <v>361</v>
      </c>
      <c r="D442" s="42" t="s">
        <v>362</v>
      </c>
      <c r="E442" s="43" t="s">
        <v>321</v>
      </c>
      <c r="F442" s="47">
        <v>14.4</v>
      </c>
      <c r="G442" s="41"/>
      <c r="H442" s="47">
        <f>SmtRes!CX104</f>
        <v>0.28799999999999998</v>
      </c>
      <c r="I442" s="48"/>
      <c r="J442" s="46"/>
      <c r="K442" s="48">
        <f>SmtRes!CZ104</f>
        <v>296.32</v>
      </c>
      <c r="L442" s="42"/>
      <c r="M442" s="48">
        <f>SmtRes!DI104</f>
        <v>85.34</v>
      </c>
    </row>
    <row r="443" spans="1:83" ht="15">
      <c r="A443" s="41"/>
      <c r="B443" s="41"/>
      <c r="C443" s="45">
        <v>2</v>
      </c>
      <c r="D443" s="41" t="s">
        <v>484</v>
      </c>
      <c r="E443" s="43"/>
      <c r="F443" s="47"/>
      <c r="G443" s="45"/>
      <c r="H443" s="47"/>
      <c r="I443" s="45"/>
      <c r="J443" s="45"/>
      <c r="K443" s="45"/>
      <c r="L443" s="45"/>
      <c r="M443" s="49">
        <f>SUM(M444:M449)-SUMIF(CE444:CE449, 1, M444:M449)</f>
        <v>8.9600000000000009</v>
      </c>
    </row>
    <row r="444" spans="1:83" ht="15">
      <c r="A444" s="41"/>
      <c r="B444" s="41"/>
      <c r="C444" s="45"/>
      <c r="D444" s="41" t="s">
        <v>487</v>
      </c>
      <c r="E444" s="43" t="s">
        <v>321</v>
      </c>
      <c r="F444" s="47"/>
      <c r="G444" s="45"/>
      <c r="H444" s="47">
        <f>Source!V253</f>
        <v>6.2E-2</v>
      </c>
      <c r="I444" s="45"/>
      <c r="J444" s="45"/>
      <c r="K444" s="45"/>
      <c r="L444" s="45"/>
      <c r="M444" s="49">
        <f>SUMIF(CE445:CE449, 1, M445:M449)</f>
        <v>2.84</v>
      </c>
      <c r="CE444">
        <v>1</v>
      </c>
    </row>
    <row r="445" spans="1:83" ht="28.5">
      <c r="A445" s="42"/>
      <c r="B445" s="42"/>
      <c r="C445" s="42" t="s">
        <v>324</v>
      </c>
      <c r="D445" s="42" t="s">
        <v>326</v>
      </c>
      <c r="E445" s="43" t="s">
        <v>327</v>
      </c>
      <c r="F445" s="47">
        <v>0.2</v>
      </c>
      <c r="G445" s="41"/>
      <c r="H445" s="47">
        <f>SmtRes!CX106</f>
        <v>4.0000000000000001E-3</v>
      </c>
      <c r="I445" s="48"/>
      <c r="J445" s="46"/>
      <c r="K445" s="48">
        <f>SmtRes!CZ106</f>
        <v>1442.85</v>
      </c>
      <c r="L445" s="42"/>
      <c r="M445" s="48">
        <f>SmtRes!DG106</f>
        <v>5.77</v>
      </c>
    </row>
    <row r="446" spans="1:83" ht="28.5">
      <c r="A446" s="42"/>
      <c r="B446" s="42"/>
      <c r="C446" s="42" t="s">
        <v>328</v>
      </c>
      <c r="D446" s="42" t="s">
        <v>485</v>
      </c>
      <c r="E446" s="43" t="s">
        <v>321</v>
      </c>
      <c r="F446" s="47">
        <f>SmtRes!DO106*SmtRes!AT106</f>
        <v>0.2</v>
      </c>
      <c r="G446" s="41"/>
      <c r="H446" s="47">
        <f>SmtRes!DO106*SmtRes!CX106</f>
        <v>4.0000000000000001E-3</v>
      </c>
      <c r="I446" s="48"/>
      <c r="J446" s="46"/>
      <c r="K446" s="48">
        <f>ROUND(SmtRes!AG106/SmtRes!DO106, 2)</f>
        <v>407.16</v>
      </c>
      <c r="L446" s="42"/>
      <c r="M446" s="48">
        <f>SmtRes!DH106</f>
        <v>1.63</v>
      </c>
      <c r="CE446">
        <v>1</v>
      </c>
    </row>
    <row r="447" spans="1:83" ht="28.5">
      <c r="A447" s="42"/>
      <c r="B447" s="42"/>
      <c r="C447" s="42" t="s">
        <v>329</v>
      </c>
      <c r="D447" s="42" t="s">
        <v>331</v>
      </c>
      <c r="E447" s="43" t="s">
        <v>327</v>
      </c>
      <c r="F447" s="47">
        <v>0.2</v>
      </c>
      <c r="G447" s="41"/>
      <c r="H447" s="47">
        <f>SmtRes!CX107</f>
        <v>4.0000000000000001E-3</v>
      </c>
      <c r="I447" s="48"/>
      <c r="J447" s="46"/>
      <c r="K447" s="48">
        <f>SmtRes!CZ107</f>
        <v>557.94000000000005</v>
      </c>
      <c r="L447" s="42"/>
      <c r="M447" s="48">
        <f>SmtRes!DG107</f>
        <v>2.23</v>
      </c>
    </row>
    <row r="448" spans="1:83" ht="28.5">
      <c r="A448" s="42"/>
      <c r="B448" s="42"/>
      <c r="C448" s="42" t="s">
        <v>332</v>
      </c>
      <c r="D448" s="42" t="s">
        <v>486</v>
      </c>
      <c r="E448" s="43" t="s">
        <v>321</v>
      </c>
      <c r="F448" s="47">
        <f>SmtRes!DO107*SmtRes!AT107</f>
        <v>0.2</v>
      </c>
      <c r="G448" s="41"/>
      <c r="H448" s="47">
        <f>SmtRes!DO107*SmtRes!CX107</f>
        <v>4.0000000000000001E-3</v>
      </c>
      <c r="I448" s="48"/>
      <c r="J448" s="46"/>
      <c r="K448" s="48">
        <f>ROUND(SmtRes!AG107/SmtRes!DO107, 2)</f>
        <v>303.11</v>
      </c>
      <c r="L448" s="42"/>
      <c r="M448" s="48">
        <f>SmtRes!DH107</f>
        <v>1.21</v>
      </c>
      <c r="CE448">
        <v>1</v>
      </c>
    </row>
    <row r="449" spans="1:82" ht="42.75">
      <c r="A449" s="42"/>
      <c r="B449" s="42"/>
      <c r="C449" s="42" t="s">
        <v>338</v>
      </c>
      <c r="D449" s="42" t="s">
        <v>340</v>
      </c>
      <c r="E449" s="43" t="s">
        <v>327</v>
      </c>
      <c r="F449" s="47">
        <v>2.7</v>
      </c>
      <c r="G449" s="41"/>
      <c r="H449" s="47">
        <f>SmtRes!CX108</f>
        <v>5.3999999999999999E-2</v>
      </c>
      <c r="I449" s="48"/>
      <c r="J449" s="46"/>
      <c r="K449" s="48">
        <f>SmtRes!CZ108</f>
        <v>17.78</v>
      </c>
      <c r="L449" s="42"/>
      <c r="M449" s="48">
        <f>SmtRes!DG108</f>
        <v>0.96</v>
      </c>
    </row>
    <row r="450" spans="1:82" ht="15">
      <c r="A450" s="41"/>
      <c r="B450" s="41"/>
      <c r="C450" s="45">
        <v>4</v>
      </c>
      <c r="D450" s="41" t="s">
        <v>488</v>
      </c>
      <c r="E450" s="43"/>
      <c r="F450" s="47"/>
      <c r="G450" s="45"/>
      <c r="H450" s="47"/>
      <c r="I450" s="45"/>
      <c r="J450" s="45"/>
      <c r="K450" s="45"/>
      <c r="L450" s="45"/>
      <c r="M450" s="49">
        <f>SUM(M451:M452)-SUMIF(CE451:CE452, 1, M451:M452)</f>
        <v>82.49</v>
      </c>
    </row>
    <row r="451" spans="1:82" ht="57">
      <c r="A451" s="42"/>
      <c r="B451" s="42"/>
      <c r="C451" s="42" t="s">
        <v>341</v>
      </c>
      <c r="D451" s="42" t="s">
        <v>343</v>
      </c>
      <c r="E451" s="43" t="s">
        <v>344</v>
      </c>
      <c r="F451" s="47">
        <v>0.9</v>
      </c>
      <c r="G451" s="41"/>
      <c r="H451" s="47">
        <f>SmtRes!CX109</f>
        <v>1.7999999999999999E-2</v>
      </c>
      <c r="I451" s="48">
        <f>SmtRes!CZ109</f>
        <v>155.63</v>
      </c>
      <c r="J451" s="46">
        <f>SmtRes!AI109</f>
        <v>1.03</v>
      </c>
      <c r="K451" s="48">
        <f>ROUND(I451*J451, 2)</f>
        <v>160.30000000000001</v>
      </c>
      <c r="L451" s="42"/>
      <c r="M451" s="48">
        <f>SmtRes!DF109</f>
        <v>2.89</v>
      </c>
    </row>
    <row r="452" spans="1:82" ht="57">
      <c r="A452" s="42"/>
      <c r="B452" s="42"/>
      <c r="C452" s="42" t="s">
        <v>427</v>
      </c>
      <c r="D452" s="50" t="s">
        <v>429</v>
      </c>
      <c r="E452" s="51" t="s">
        <v>344</v>
      </c>
      <c r="F452" s="52">
        <v>3.7</v>
      </c>
      <c r="G452" s="53"/>
      <c r="H452" s="52">
        <f>SmtRes!CX110</f>
        <v>7.3999999999999996E-2</v>
      </c>
      <c r="I452" s="54">
        <f>SmtRes!CZ110</f>
        <v>911.56</v>
      </c>
      <c r="J452" s="55">
        <f>SmtRes!AI110</f>
        <v>1.18</v>
      </c>
      <c r="K452" s="54">
        <f>ROUND(I452*J452, 2)</f>
        <v>1075.6400000000001</v>
      </c>
      <c r="L452" s="50"/>
      <c r="M452" s="54">
        <f>SmtRes!DF110</f>
        <v>79.599999999999994</v>
      </c>
    </row>
    <row r="453" spans="1:82" ht="15">
      <c r="A453" s="42"/>
      <c r="B453" s="42"/>
      <c r="C453" s="42"/>
      <c r="D453" s="58" t="s">
        <v>489</v>
      </c>
      <c r="E453" s="43"/>
      <c r="F453" s="47"/>
      <c r="G453" s="41"/>
      <c r="H453" s="47"/>
      <c r="I453" s="48"/>
      <c r="J453" s="46"/>
      <c r="K453" s="48"/>
      <c r="L453" s="42"/>
      <c r="M453" s="48">
        <f>M441+M443+M444+M450</f>
        <v>179.63</v>
      </c>
    </row>
    <row r="454" spans="1:82" ht="57">
      <c r="A454" s="40" t="s">
        <v>552</v>
      </c>
      <c r="B454" s="42" t="s">
        <v>206</v>
      </c>
      <c r="C454" s="42" t="str">
        <f>Source!F254</f>
        <v>421/пр_2020_п.75_пп.а</v>
      </c>
      <c r="D454" s="42" t="str">
        <f>Source!G254</f>
        <v>Сметная стоимость вспомогательных ненормируемых материальных ресурсов, не учтенная в сметной норме, 2%</v>
      </c>
      <c r="E454" s="43" t="str">
        <f>Source!H254</f>
        <v>%</v>
      </c>
      <c r="F454" s="47">
        <f>SmtRes!AT111</f>
        <v>2</v>
      </c>
      <c r="G454" s="41"/>
      <c r="H454" s="47">
        <f>Source!I254</f>
        <v>2</v>
      </c>
      <c r="I454" s="48"/>
      <c r="J454" s="46"/>
      <c r="K454" s="48"/>
      <c r="L454" s="42"/>
      <c r="M454" s="48">
        <f>Source!P254</f>
        <v>1.71</v>
      </c>
      <c r="AD454">
        <f>ROUND((Source!AT254/100)*((ROUND(0*Source!I254, 2)+ROUND(0*Source!I254, 2))), 2)</f>
        <v>0</v>
      </c>
      <c r="AE454">
        <f>ROUND((Source!AU254/100)*((ROUND(0*Source!I254, 2)+ROUND(0*Source!I254, 2))), 2)</f>
        <v>0</v>
      </c>
      <c r="AN454">
        <f>M454</f>
        <v>1.71</v>
      </c>
      <c r="AW454">
        <f>M454</f>
        <v>1.71</v>
      </c>
      <c r="AZ454">
        <f>Source!X254</f>
        <v>0</v>
      </c>
      <c r="BA454">
        <f>Source!Y254</f>
        <v>0</v>
      </c>
      <c r="CD454">
        <v>4</v>
      </c>
    </row>
    <row r="455" spans="1:82" ht="14.25">
      <c r="A455" s="42"/>
      <c r="B455" s="42"/>
      <c r="C455" s="42"/>
      <c r="D455" s="42" t="s">
        <v>491</v>
      </c>
      <c r="E455" s="43"/>
      <c r="F455" s="47"/>
      <c r="G455" s="41"/>
      <c r="H455" s="47"/>
      <c r="I455" s="48"/>
      <c r="J455" s="46"/>
      <c r="K455" s="48"/>
      <c r="L455" s="42"/>
      <c r="M455" s="48">
        <f>SUM(AR439:AR458)+SUM(AS439:AS458)+SUM(AT439:AT458)+SUM(AU439:AU458)+SUM(AV439:AV458)</f>
        <v>88.18</v>
      </c>
    </row>
    <row r="456" spans="1:82" ht="28.5">
      <c r="A456" s="42"/>
      <c r="B456" s="42"/>
      <c r="C456" s="42" t="s">
        <v>25</v>
      </c>
      <c r="D456" s="42" t="s">
        <v>492</v>
      </c>
      <c r="E456" s="43" t="s">
        <v>30</v>
      </c>
      <c r="F456" s="47">
        <f>Source!BZ253</f>
        <v>97</v>
      </c>
      <c r="G456" s="41"/>
      <c r="H456" s="47">
        <f>Source!AT253</f>
        <v>97</v>
      </c>
      <c r="I456" s="48"/>
      <c r="J456" s="46"/>
      <c r="K456" s="48"/>
      <c r="L456" s="42"/>
      <c r="M456" s="48">
        <f>SUM(AZ439:AZ458)</f>
        <v>85.53</v>
      </c>
    </row>
    <row r="457" spans="1:82" ht="28.5">
      <c r="A457" s="50"/>
      <c r="B457" s="50"/>
      <c r="C457" s="50" t="s">
        <v>26</v>
      </c>
      <c r="D457" s="50" t="s">
        <v>493</v>
      </c>
      <c r="E457" s="51" t="s">
        <v>30</v>
      </c>
      <c r="F457" s="52">
        <f>Source!CA253</f>
        <v>51</v>
      </c>
      <c r="G457" s="53"/>
      <c r="H457" s="52">
        <f>Source!AU253</f>
        <v>51</v>
      </c>
      <c r="I457" s="54"/>
      <c r="J457" s="55"/>
      <c r="K457" s="54"/>
      <c r="L457" s="50"/>
      <c r="M457" s="54">
        <f>SUM(BA439:BA458)</f>
        <v>44.97</v>
      </c>
    </row>
    <row r="458" spans="1:82" ht="15">
      <c r="D458" s="111" t="s">
        <v>494</v>
      </c>
      <c r="E458" s="111"/>
      <c r="F458" s="111"/>
      <c r="G458" s="111"/>
      <c r="H458" s="111"/>
      <c r="I458" s="111"/>
      <c r="J458" s="112">
        <f>L458/F439</f>
        <v>15592.000000000002</v>
      </c>
      <c r="K458" s="112"/>
      <c r="L458" s="112">
        <f>M441+M443+M450+M456+M457+M444+SUM(M454:M454)</f>
        <v>311.84000000000003</v>
      </c>
      <c r="M458" s="112"/>
      <c r="AD458">
        <f>ROUND((Source!AT253/100)*((ROUND(SUMIF(SmtRes!AQ104:'SmtRes'!AQ111,"=1",SmtRes!AD104:'SmtRes'!AD111)*Source!I253, 2)+ROUND(SUMIF(SmtRes!AQ104:'SmtRes'!AQ111,"=1",SmtRes!AC104:'SmtRes'!AC111)*Source!I253, 2))), 2)</f>
        <v>19.54</v>
      </c>
      <c r="AE458">
        <f>ROUND((Source!AU253/100)*((ROUND(SUMIF(SmtRes!AQ104:'SmtRes'!AQ111,"=1",SmtRes!AD104:'SmtRes'!AD111)*Source!I253, 2)+ROUND(SUMIF(SmtRes!AQ104:'SmtRes'!AQ111,"=1",SmtRes!AC104:'SmtRes'!AC111)*Source!I253, 2))), 2)</f>
        <v>10.27</v>
      </c>
      <c r="AN458" s="56">
        <f>M441+M443+M450+M456+M457+M444</f>
        <v>310.13000000000005</v>
      </c>
      <c r="AO458" s="56">
        <f>M443</f>
        <v>8.9600000000000009</v>
      </c>
      <c r="AQ458" t="s">
        <v>495</v>
      </c>
      <c r="AR458" s="56">
        <f>M441</f>
        <v>85.34</v>
      </c>
      <c r="AT458" s="56">
        <f>M444</f>
        <v>2.84</v>
      </c>
      <c r="AV458" t="s">
        <v>495</v>
      </c>
      <c r="AW458" s="56">
        <f>M450</f>
        <v>82.49</v>
      </c>
      <c r="AZ458">
        <f>Source!X253</f>
        <v>85.53</v>
      </c>
      <c r="BA458">
        <f>Source!Y253</f>
        <v>44.97</v>
      </c>
      <c r="CD458">
        <v>2</v>
      </c>
    </row>
    <row r="460" spans="1:82" ht="15">
      <c r="A460" s="62"/>
      <c r="B460" s="62"/>
      <c r="C460" s="63"/>
      <c r="D460" s="129" t="s">
        <v>501</v>
      </c>
      <c r="E460" s="129"/>
      <c r="F460" s="129"/>
      <c r="G460" s="129"/>
      <c r="H460" s="129"/>
      <c r="I460" s="129"/>
      <c r="J460" s="49"/>
      <c r="K460" s="62"/>
      <c r="L460" s="64"/>
      <c r="M460" s="49">
        <f>M462+M463+M469+M473</f>
        <v>51674.67</v>
      </c>
    </row>
    <row r="461" spans="1:82" ht="14.25">
      <c r="A461" s="59"/>
      <c r="B461" s="59"/>
      <c r="C461" s="61"/>
      <c r="D461" s="128" t="s">
        <v>502</v>
      </c>
      <c r="E461" s="127"/>
      <c r="F461" s="127"/>
      <c r="G461" s="127"/>
      <c r="H461" s="127"/>
      <c r="I461" s="127"/>
      <c r="J461" s="48"/>
      <c r="K461" s="59"/>
      <c r="L461" s="45"/>
      <c r="M461" s="48"/>
    </row>
    <row r="462" spans="1:82" ht="14.25">
      <c r="A462" s="59"/>
      <c r="B462" s="59"/>
      <c r="C462" s="61"/>
      <c r="D462" s="127" t="s">
        <v>503</v>
      </c>
      <c r="E462" s="127"/>
      <c r="F462" s="127"/>
      <c r="G462" s="127"/>
      <c r="H462" s="127"/>
      <c r="I462" s="127"/>
      <c r="J462" s="48"/>
      <c r="K462" s="59"/>
      <c r="L462" s="45"/>
      <c r="M462" s="48">
        <f>SUM(AR280:AR458)</f>
        <v>36338.06</v>
      </c>
    </row>
    <row r="463" spans="1:82" ht="14.25" hidden="1">
      <c r="A463" s="59"/>
      <c r="B463" s="59"/>
      <c r="C463" s="61"/>
      <c r="D463" s="127" t="s">
        <v>504</v>
      </c>
      <c r="E463" s="127"/>
      <c r="F463" s="127"/>
      <c r="G463" s="127"/>
      <c r="H463" s="127"/>
      <c r="I463" s="127"/>
      <c r="J463" s="48"/>
      <c r="K463" s="59"/>
      <c r="L463" s="45"/>
      <c r="M463" s="48">
        <f>M465+M468+M467</f>
        <v>2508.1099999999997</v>
      </c>
    </row>
    <row r="464" spans="1:82" ht="14.25" hidden="1">
      <c r="A464" s="59"/>
      <c r="B464" s="59"/>
      <c r="C464" s="61"/>
      <c r="D464" s="128" t="s">
        <v>505</v>
      </c>
      <c r="E464" s="127"/>
      <c r="F464" s="127"/>
      <c r="G464" s="127"/>
      <c r="H464" s="127"/>
      <c r="I464" s="127"/>
      <c r="J464" s="48"/>
      <c r="K464" s="59"/>
      <c r="L464" s="45"/>
      <c r="M464" s="48"/>
    </row>
    <row r="465" spans="1:13" ht="14.25">
      <c r="A465" s="59"/>
      <c r="B465" s="59"/>
      <c r="C465" s="61"/>
      <c r="D465" s="127" t="s">
        <v>504</v>
      </c>
      <c r="E465" s="127"/>
      <c r="F465" s="127"/>
      <c r="G465" s="127"/>
      <c r="H465" s="127"/>
      <c r="I465" s="127"/>
      <c r="J465" s="48"/>
      <c r="K465" s="59"/>
      <c r="L465" s="45"/>
      <c r="M465" s="48">
        <f>SUM(AO280:AO458)</f>
        <v>1836.9299999999996</v>
      </c>
    </row>
    <row r="466" spans="1:13" ht="14.25" hidden="1">
      <c r="A466" s="59"/>
      <c r="B466" s="59"/>
      <c r="C466" s="61"/>
      <c r="D466" s="128" t="s">
        <v>506</v>
      </c>
      <c r="E466" s="127"/>
      <c r="F466" s="127"/>
      <c r="G466" s="127"/>
      <c r="H466" s="127"/>
      <c r="I466" s="127"/>
      <c r="J466" s="48"/>
      <c r="K466" s="59"/>
      <c r="L466" s="45"/>
      <c r="M466" s="48"/>
    </row>
    <row r="467" spans="1:13" ht="14.25">
      <c r="A467" s="59"/>
      <c r="B467" s="59"/>
      <c r="C467" s="61"/>
      <c r="D467" s="127" t="s">
        <v>526</v>
      </c>
      <c r="E467" s="127"/>
      <c r="F467" s="127"/>
      <c r="G467" s="127"/>
      <c r="H467" s="127"/>
      <c r="I467" s="127"/>
      <c r="J467" s="48"/>
      <c r="K467" s="59"/>
      <c r="L467" s="45"/>
      <c r="M467" s="48">
        <f>SUM(AT280:AT458)</f>
        <v>671.18000000000006</v>
      </c>
    </row>
    <row r="468" spans="1:13" ht="14.25" hidden="1">
      <c r="A468" s="59"/>
      <c r="B468" s="59"/>
      <c r="C468" s="61"/>
      <c r="D468" s="127" t="s">
        <v>507</v>
      </c>
      <c r="E468" s="127"/>
      <c r="F468" s="127"/>
      <c r="G468" s="127"/>
      <c r="H468" s="127"/>
      <c r="I468" s="127"/>
      <c r="J468" s="48"/>
      <c r="K468" s="59"/>
      <c r="L468" s="45"/>
      <c r="M468" s="48">
        <f>SUM(AV280:AV458)</f>
        <v>0</v>
      </c>
    </row>
    <row r="469" spans="1:13" ht="14.25">
      <c r="A469" s="59"/>
      <c r="B469" s="59"/>
      <c r="C469" s="61"/>
      <c r="D469" s="127" t="s">
        <v>508</v>
      </c>
      <c r="E469" s="127"/>
      <c r="F469" s="127"/>
      <c r="G469" s="127"/>
      <c r="H469" s="127"/>
      <c r="I469" s="127"/>
      <c r="J469" s="48"/>
      <c r="K469" s="59"/>
      <c r="L469" s="45"/>
      <c r="M469" s="48">
        <f>M471+M472</f>
        <v>12828.500000000002</v>
      </c>
    </row>
    <row r="470" spans="1:13" ht="14.25">
      <c r="A470" s="59"/>
      <c r="B470" s="59"/>
      <c r="C470" s="61"/>
      <c r="D470" s="128" t="s">
        <v>505</v>
      </c>
      <c r="E470" s="127"/>
      <c r="F470" s="127"/>
      <c r="G470" s="127"/>
      <c r="H470" s="127"/>
      <c r="I470" s="127"/>
      <c r="J470" s="48"/>
      <c r="K470" s="59"/>
      <c r="L470" s="45"/>
      <c r="M470" s="48"/>
    </row>
    <row r="471" spans="1:13" ht="14.25">
      <c r="A471" s="59"/>
      <c r="B471" s="59"/>
      <c r="C471" s="61"/>
      <c r="D471" s="127" t="s">
        <v>509</v>
      </c>
      <c r="E471" s="127"/>
      <c r="F471" s="127"/>
      <c r="G471" s="127"/>
      <c r="H471" s="127"/>
      <c r="I471" s="127"/>
      <c r="J471" s="48"/>
      <c r="K471" s="59"/>
      <c r="L471" s="45"/>
      <c r="M471" s="48">
        <f>SUM(AW280:AW458)-SUM(BK280:BK458)</f>
        <v>12828.500000000002</v>
      </c>
    </row>
    <row r="472" spans="1:13" ht="14.25" hidden="1">
      <c r="A472" s="59"/>
      <c r="B472" s="59"/>
      <c r="C472" s="61"/>
      <c r="D472" s="127" t="s">
        <v>510</v>
      </c>
      <c r="E472" s="127"/>
      <c r="F472" s="127"/>
      <c r="G472" s="127"/>
      <c r="H472" s="127"/>
      <c r="I472" s="127"/>
      <c r="J472" s="48"/>
      <c r="K472" s="59"/>
      <c r="L472" s="45"/>
      <c r="M472" s="48">
        <f>SUM(BC280:BC458)</f>
        <v>0</v>
      </c>
    </row>
    <row r="473" spans="1:13" ht="14.25" hidden="1">
      <c r="A473" s="59"/>
      <c r="B473" s="59"/>
      <c r="C473" s="61"/>
      <c r="D473" s="127" t="s">
        <v>511</v>
      </c>
      <c r="E473" s="127"/>
      <c r="F473" s="127"/>
      <c r="G473" s="127"/>
      <c r="H473" s="127"/>
      <c r="I473" s="127"/>
      <c r="J473" s="48"/>
      <c r="K473" s="59"/>
      <c r="L473" s="45"/>
      <c r="M473" s="48">
        <f>SUM(BB280:BB458)</f>
        <v>0</v>
      </c>
    </row>
    <row r="474" spans="1:13" ht="14.25">
      <c r="A474" s="59"/>
      <c r="B474" s="59"/>
      <c r="C474" s="61"/>
      <c r="D474" s="127" t="s">
        <v>512</v>
      </c>
      <c r="E474" s="127"/>
      <c r="F474" s="127"/>
      <c r="G474" s="127"/>
      <c r="H474" s="127"/>
      <c r="I474" s="127"/>
      <c r="J474" s="48"/>
      <c r="K474" s="59"/>
      <c r="L474" s="45"/>
      <c r="M474" s="48">
        <f>SUM(AR280:AR458)+SUM(AT280:AT458)+SUM(AV280:AV458)</f>
        <v>37009.24</v>
      </c>
    </row>
    <row r="475" spans="1:13" ht="14.25">
      <c r="A475" s="59"/>
      <c r="B475" s="59"/>
      <c r="C475" s="61"/>
      <c r="D475" s="127" t="s">
        <v>513</v>
      </c>
      <c r="E475" s="127"/>
      <c r="F475" s="127"/>
      <c r="G475" s="127"/>
      <c r="H475" s="127"/>
      <c r="I475" s="127"/>
      <c r="J475" s="48"/>
      <c r="K475" s="59"/>
      <c r="L475" s="45"/>
      <c r="M475" s="48">
        <f>SUM(AZ280:AZ458)</f>
        <v>34857.719999999994</v>
      </c>
    </row>
    <row r="476" spans="1:13" ht="14.25">
      <c r="A476" s="59"/>
      <c r="B476" s="59"/>
      <c r="C476" s="61"/>
      <c r="D476" s="127" t="s">
        <v>514</v>
      </c>
      <c r="E476" s="127"/>
      <c r="F476" s="127"/>
      <c r="G476" s="127"/>
      <c r="H476" s="127"/>
      <c r="I476" s="127"/>
      <c r="J476" s="48"/>
      <c r="K476" s="59"/>
      <c r="L476" s="45"/>
      <c r="M476" s="48">
        <f>SUM(BA280:BA458)</f>
        <v>18130.960000000003</v>
      </c>
    </row>
    <row r="477" spans="1:13" ht="14.25" hidden="1">
      <c r="A477" s="59"/>
      <c r="B477" s="59"/>
      <c r="C477" s="61"/>
      <c r="D477" s="127" t="s">
        <v>515</v>
      </c>
      <c r="E477" s="127"/>
      <c r="F477" s="127"/>
      <c r="G477" s="127"/>
      <c r="H477" s="127"/>
      <c r="I477" s="127"/>
      <c r="J477" s="48"/>
      <c r="K477" s="59"/>
      <c r="L477" s="45"/>
      <c r="M477" s="48">
        <f>M479+M480</f>
        <v>0</v>
      </c>
    </row>
    <row r="478" spans="1:13" ht="14.25" hidden="1">
      <c r="A478" s="59"/>
      <c r="B478" s="59"/>
      <c r="C478" s="61"/>
      <c r="D478" s="128" t="s">
        <v>502</v>
      </c>
      <c r="E478" s="127"/>
      <c r="F478" s="127"/>
      <c r="G478" s="127"/>
      <c r="H478" s="127"/>
      <c r="I478" s="127"/>
      <c r="J478" s="48"/>
      <c r="K478" s="59"/>
      <c r="L478" s="45"/>
      <c r="M478" s="48"/>
    </row>
    <row r="479" spans="1:13" ht="14.25" hidden="1">
      <c r="A479" s="59"/>
      <c r="B479" s="59"/>
      <c r="C479" s="61"/>
      <c r="D479" s="127" t="s">
        <v>516</v>
      </c>
      <c r="E479" s="127"/>
      <c r="F479" s="127"/>
      <c r="G479" s="127"/>
      <c r="H479" s="127"/>
      <c r="I479" s="127"/>
      <c r="J479" s="48"/>
      <c r="K479" s="59"/>
      <c r="L479" s="45"/>
      <c r="M479" s="48">
        <f>SUM(BK280:BK458)</f>
        <v>0</v>
      </c>
    </row>
    <row r="480" spans="1:13" ht="14.25" hidden="1">
      <c r="A480" s="59"/>
      <c r="B480" s="59"/>
      <c r="C480" s="61"/>
      <c r="D480" s="127" t="s">
        <v>517</v>
      </c>
      <c r="E480" s="127"/>
      <c r="F480" s="127"/>
      <c r="G480" s="127"/>
      <c r="H480" s="127"/>
      <c r="I480" s="127"/>
      <c r="J480" s="48"/>
      <c r="K480" s="59"/>
      <c r="L480" s="45"/>
      <c r="M480" s="48">
        <f>SUM(BD280:BD458)</f>
        <v>0</v>
      </c>
    </row>
    <row r="481" spans="1:82" ht="14.25" hidden="1">
      <c r="A481" s="59"/>
      <c r="B481" s="59"/>
      <c r="C481" s="61"/>
      <c r="D481" s="127" t="s">
        <v>518</v>
      </c>
      <c r="E481" s="127"/>
      <c r="F481" s="127"/>
      <c r="G481" s="127"/>
      <c r="H481" s="127"/>
      <c r="I481" s="127"/>
      <c r="J481" s="48"/>
      <c r="K481" s="59"/>
      <c r="L481" s="45"/>
      <c r="M481" s="48"/>
    </row>
    <row r="482" spans="1:82" ht="14.25" hidden="1">
      <c r="A482" s="59"/>
      <c r="B482" s="59"/>
      <c r="C482" s="61"/>
      <c r="D482" s="127" t="s">
        <v>519</v>
      </c>
      <c r="E482" s="127"/>
      <c r="F482" s="127"/>
      <c r="G482" s="127"/>
      <c r="H482" s="127"/>
      <c r="I482" s="127"/>
      <c r="J482" s="48"/>
      <c r="K482" s="59"/>
      <c r="L482" s="45"/>
      <c r="M482" s="48">
        <f>SUM(BO280:BO458)</f>
        <v>0</v>
      </c>
    </row>
    <row r="483" spans="1:82" ht="15">
      <c r="A483" s="62"/>
      <c r="B483" s="62"/>
      <c r="C483" s="63"/>
      <c r="D483" s="129" t="s">
        <v>520</v>
      </c>
      <c r="E483" s="129"/>
      <c r="F483" s="129"/>
      <c r="G483" s="129"/>
      <c r="H483" s="129"/>
      <c r="I483" s="129"/>
      <c r="J483" s="49"/>
      <c r="K483" s="62"/>
      <c r="L483" s="64"/>
      <c r="M483" s="49">
        <f>M460+M475+M476+M477+M481+M482</f>
        <v>104663.34999999999</v>
      </c>
    </row>
    <row r="484" spans="1:82" ht="14.25">
      <c r="A484" s="59"/>
      <c r="B484" s="59"/>
      <c r="C484" s="61"/>
      <c r="D484" s="128" t="s">
        <v>521</v>
      </c>
      <c r="E484" s="127"/>
      <c r="F484" s="127"/>
      <c r="G484" s="127"/>
      <c r="H484" s="127"/>
      <c r="I484" s="127"/>
      <c r="J484" s="48"/>
      <c r="K484" s="59"/>
      <c r="L484" s="45"/>
      <c r="M484" s="48"/>
    </row>
    <row r="485" spans="1:82" ht="14.25" hidden="1">
      <c r="A485" s="59"/>
      <c r="B485" s="59"/>
      <c r="C485" s="61"/>
      <c r="D485" s="127" t="s">
        <v>522</v>
      </c>
      <c r="E485" s="127"/>
      <c r="F485" s="127"/>
      <c r="G485" s="127"/>
      <c r="H485" s="127"/>
      <c r="I485" s="127"/>
      <c r="J485" s="48"/>
      <c r="K485" s="59"/>
      <c r="L485" s="45"/>
      <c r="M485" s="48">
        <f>SUM(AX280:AX458)</f>
        <v>0</v>
      </c>
    </row>
    <row r="486" spans="1:82" ht="14.25" hidden="1">
      <c r="A486" s="59"/>
      <c r="B486" s="59"/>
      <c r="C486" s="61"/>
      <c r="D486" s="127" t="s">
        <v>523</v>
      </c>
      <c r="E486" s="127"/>
      <c r="F486" s="127"/>
      <c r="G486" s="127"/>
      <c r="H486" s="127"/>
      <c r="I486" s="127"/>
      <c r="J486" s="48"/>
      <c r="K486" s="59"/>
      <c r="L486" s="45"/>
      <c r="M486" s="48">
        <f>SUM(AY280:AY458)</f>
        <v>0</v>
      </c>
    </row>
    <row r="487" spans="1:82" ht="14.25">
      <c r="A487" s="59"/>
      <c r="B487" s="59"/>
      <c r="C487" s="61"/>
      <c r="D487" s="127" t="s">
        <v>524</v>
      </c>
      <c r="E487" s="127"/>
      <c r="F487" s="127"/>
      <c r="G487" s="130"/>
      <c r="H487" s="47">
        <f>Source!F278</f>
        <v>103.598</v>
      </c>
      <c r="I487" s="59"/>
      <c r="J487" s="59"/>
      <c r="K487" s="59"/>
      <c r="L487" s="59"/>
      <c r="M487" s="59"/>
    </row>
    <row r="488" spans="1:82" ht="14.25">
      <c r="A488" s="59"/>
      <c r="B488" s="59"/>
      <c r="C488" s="61"/>
      <c r="D488" s="127" t="s">
        <v>525</v>
      </c>
      <c r="E488" s="127"/>
      <c r="F488" s="127"/>
      <c r="G488" s="130"/>
      <c r="H488" s="47">
        <f>Source!F279</f>
        <v>8.9239999999999995</v>
      </c>
      <c r="I488" s="59"/>
      <c r="J488" s="59"/>
      <c r="K488" s="59"/>
      <c r="L488" s="59"/>
      <c r="M488" s="59"/>
    </row>
    <row r="490" spans="1:82" ht="14.25">
      <c r="D490" s="131" t="str">
        <f>Source!H295</f>
        <v>НДС 20%</v>
      </c>
      <c r="E490" s="131"/>
      <c r="F490" s="131"/>
      <c r="G490" s="131"/>
      <c r="H490" s="131"/>
      <c r="I490" s="131"/>
      <c r="J490" s="131"/>
      <c r="K490" s="131"/>
      <c r="L490" s="131"/>
      <c r="M490" s="57">
        <f>IF(Source!Y295=0, "", Source!Y295)</f>
        <v>20932.669999999998</v>
      </c>
    </row>
    <row r="491" spans="1:82" ht="14.25">
      <c r="D491" s="131" t="str">
        <f>Source!H296</f>
        <v>ИТОГО с НДС</v>
      </c>
      <c r="E491" s="131"/>
      <c r="F491" s="131"/>
      <c r="G491" s="131"/>
      <c r="H491" s="131"/>
      <c r="I491" s="131"/>
      <c r="J491" s="131"/>
      <c r="K491" s="131"/>
      <c r="L491" s="131"/>
      <c r="M491" s="57">
        <f>IF(Source!Y296=0, "", Source!Y296)</f>
        <v>125596.02</v>
      </c>
    </row>
    <row r="493" spans="1:82" ht="16.5">
      <c r="A493" s="110" t="s">
        <v>527</v>
      </c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  <c r="M493" s="110"/>
    </row>
    <row r="494" spans="1:82" ht="28.5">
      <c r="A494" s="65" t="s">
        <v>207</v>
      </c>
      <c r="B494" s="50">
        <v>26</v>
      </c>
      <c r="C494" s="50" t="str">
        <f>Source!F302</f>
        <v>цена поставщика</v>
      </c>
      <c r="D494" s="50" t="str">
        <f>Source!G302</f>
        <v>Шкаф для АСТУЭ с монтажной панелью</v>
      </c>
      <c r="E494" s="51" t="str">
        <f>Source!H302</f>
        <v>ШТ</v>
      </c>
      <c r="F494" s="52">
        <f>Source!K302</f>
        <v>1</v>
      </c>
      <c r="G494" s="53"/>
      <c r="H494" s="52">
        <f>Source!I302</f>
        <v>1</v>
      </c>
      <c r="I494" s="54">
        <f>Source!AL302</f>
        <v>15580.83</v>
      </c>
      <c r="J494" s="55"/>
      <c r="K494" s="54"/>
      <c r="L494" s="50"/>
      <c r="M494" s="54">
        <f>Source!P302</f>
        <v>15580.83</v>
      </c>
    </row>
    <row r="495" spans="1:82" ht="15">
      <c r="D495" s="111" t="s">
        <v>494</v>
      </c>
      <c r="E495" s="111"/>
      <c r="F495" s="111"/>
      <c r="G495" s="111"/>
      <c r="H495" s="111"/>
      <c r="I495" s="111"/>
      <c r="J495" s="112">
        <f>L495/F494</f>
        <v>15580.83</v>
      </c>
      <c r="K495" s="112"/>
      <c r="L495" s="112">
        <f>M494</f>
        <v>15580.83</v>
      </c>
      <c r="M495" s="112"/>
      <c r="AD495">
        <f>ROUND((Source!AT302/100)*((ROUND(ROUND(Source!AO302,2)*Source!I302, 2)+ROUND(ROUND(Source!AN302,2)*Source!I302, 2))), 2)</f>
        <v>0</v>
      </c>
      <c r="AE495">
        <f>ROUND((Source!AU302/100)*((ROUND(ROUND(Source!AO302,2)*Source!I302, 2)+ROUND(ROUND(Source!AN302,2)*Source!I302, 2))), 2)</f>
        <v>0</v>
      </c>
      <c r="AN495" s="56">
        <f>M494</f>
        <v>15580.83</v>
      </c>
      <c r="AO495">
        <f>0</f>
        <v>0</v>
      </c>
      <c r="AQ495" t="s">
        <v>495</v>
      </c>
      <c r="AR495">
        <f>0</f>
        <v>0</v>
      </c>
      <c r="AT495">
        <f>0</f>
        <v>0</v>
      </c>
      <c r="AV495" t="s">
        <v>495</v>
      </c>
      <c r="AW495" s="56">
        <f>M494</f>
        <v>15580.83</v>
      </c>
      <c r="AZ495">
        <f>Source!X302</f>
        <v>0</v>
      </c>
      <c r="BA495">
        <f>Source!Y302</f>
        <v>0</v>
      </c>
      <c r="CD495">
        <v>1</v>
      </c>
    </row>
    <row r="496" spans="1:82" ht="57">
      <c r="A496" s="65" t="s">
        <v>209</v>
      </c>
      <c r="B496" s="50">
        <v>27</v>
      </c>
      <c r="C496" s="50" t="str">
        <f>Source!F303</f>
        <v>цена поставщика</v>
      </c>
      <c r="D496" s="50" t="str">
        <f>Source!G303</f>
        <v>УСПД(Маршрутизатор)- RTR8A.LGE-1-2-RUF(DC2S.7-1) (PLC (OFDM) +RF(Комбинированный), Ethernet, GPRS,USB,RS-485.</v>
      </c>
      <c r="E496" s="51" t="str">
        <f>Source!H303</f>
        <v>ШТ</v>
      </c>
      <c r="F496" s="52">
        <f>Source!K303</f>
        <v>1</v>
      </c>
      <c r="G496" s="53"/>
      <c r="H496" s="52">
        <f>Source!I303</f>
        <v>1</v>
      </c>
      <c r="I496" s="54">
        <f>Source!AL303</f>
        <v>70430</v>
      </c>
      <c r="J496" s="55"/>
      <c r="K496" s="54"/>
      <c r="L496" s="50"/>
      <c r="M496" s="54">
        <f>Source!P303</f>
        <v>70430</v>
      </c>
    </row>
    <row r="497" spans="1:82" ht="15">
      <c r="D497" s="111" t="s">
        <v>494</v>
      </c>
      <c r="E497" s="111"/>
      <c r="F497" s="111"/>
      <c r="G497" s="111"/>
      <c r="H497" s="111"/>
      <c r="I497" s="111"/>
      <c r="J497" s="112">
        <f>L497/F496</f>
        <v>70430</v>
      </c>
      <c r="K497" s="112"/>
      <c r="L497" s="112">
        <f>M496</f>
        <v>70430</v>
      </c>
      <c r="M497" s="112"/>
      <c r="AD497">
        <f>ROUND((Source!AT303/100)*((ROUND(ROUND(Source!AO303,2)*Source!I303, 2)+ROUND(ROUND(Source!AN303,2)*Source!I303, 2))), 2)</f>
        <v>0</v>
      </c>
      <c r="AE497">
        <f>ROUND((Source!AU303/100)*((ROUND(ROUND(Source!AO303,2)*Source!I303, 2)+ROUND(ROUND(Source!AN303,2)*Source!I303, 2))), 2)</f>
        <v>0</v>
      </c>
      <c r="AN497" s="56">
        <f>M496</f>
        <v>70430</v>
      </c>
      <c r="AO497">
        <f>0</f>
        <v>0</v>
      </c>
      <c r="AQ497" t="s">
        <v>495</v>
      </c>
      <c r="AR497">
        <f>0</f>
        <v>0</v>
      </c>
      <c r="AT497">
        <f>0</f>
        <v>0</v>
      </c>
      <c r="AV497" t="s">
        <v>495</v>
      </c>
      <c r="AW497" s="56">
        <f>M496</f>
        <v>70430</v>
      </c>
      <c r="AZ497">
        <f>Source!X303</f>
        <v>0</v>
      </c>
      <c r="BA497">
        <f>Source!Y303</f>
        <v>0</v>
      </c>
      <c r="CD497">
        <v>1</v>
      </c>
    </row>
    <row r="498" spans="1:82" ht="42.75">
      <c r="A498" s="65" t="s">
        <v>211</v>
      </c>
      <c r="B498" s="50">
        <v>28</v>
      </c>
      <c r="C498" s="50" t="str">
        <f>Source!F304</f>
        <v>цена поставщика</v>
      </c>
      <c r="D498" s="50" t="str">
        <f>Source!G304</f>
        <v>Счетчик трехфазный трансформаторного включения-AD13A.3(I)-BLRs-Z-2r-W (3-6-1)</v>
      </c>
      <c r="E498" s="51" t="str">
        <f>Source!H304</f>
        <v>ШТ</v>
      </c>
      <c r="F498" s="52">
        <f>Source!K304</f>
        <v>4</v>
      </c>
      <c r="G498" s="53"/>
      <c r="H498" s="52">
        <f>Source!I304</f>
        <v>4</v>
      </c>
      <c r="I498" s="54">
        <f>Source!AL304</f>
        <v>21225.83</v>
      </c>
      <c r="J498" s="55"/>
      <c r="K498" s="54"/>
      <c r="L498" s="50"/>
      <c r="M498" s="54">
        <f>Source!P304</f>
        <v>84903.32</v>
      </c>
    </row>
    <row r="499" spans="1:82" ht="15">
      <c r="D499" s="111" t="s">
        <v>494</v>
      </c>
      <c r="E499" s="111"/>
      <c r="F499" s="111"/>
      <c r="G499" s="111"/>
      <c r="H499" s="111"/>
      <c r="I499" s="111"/>
      <c r="J499" s="112">
        <f>L499/F498</f>
        <v>21225.83</v>
      </c>
      <c r="K499" s="112"/>
      <c r="L499" s="112">
        <f>M498</f>
        <v>84903.32</v>
      </c>
      <c r="M499" s="112"/>
      <c r="AD499">
        <f>ROUND((Source!AT304/100)*((ROUND(ROUND(Source!AO304,2)*Source!I304, 2)+ROUND(ROUND(Source!AN304,2)*Source!I304, 2))), 2)</f>
        <v>0</v>
      </c>
      <c r="AE499">
        <f>ROUND((Source!AU304/100)*((ROUND(ROUND(Source!AO304,2)*Source!I304, 2)+ROUND(ROUND(Source!AN304,2)*Source!I304, 2))), 2)</f>
        <v>0</v>
      </c>
      <c r="AN499" s="56">
        <f>M498</f>
        <v>84903.32</v>
      </c>
      <c r="AO499">
        <f>0</f>
        <v>0</v>
      </c>
      <c r="AQ499" t="s">
        <v>495</v>
      </c>
      <c r="AR499">
        <f>0</f>
        <v>0</v>
      </c>
      <c r="AT499">
        <f>0</f>
        <v>0</v>
      </c>
      <c r="AV499" t="s">
        <v>495</v>
      </c>
      <c r="AW499" s="56">
        <f>M498</f>
        <v>84903.32</v>
      </c>
      <c r="AZ499">
        <f>Source!X304</f>
        <v>0</v>
      </c>
      <c r="BA499">
        <f>Source!Y304</f>
        <v>0</v>
      </c>
      <c r="CD499">
        <v>1</v>
      </c>
    </row>
    <row r="500" spans="1:82" ht="14.25">
      <c r="A500" s="65" t="s">
        <v>213</v>
      </c>
      <c r="B500" s="50">
        <v>29</v>
      </c>
      <c r="C500" s="50" t="str">
        <f>Source!F305</f>
        <v>цена поставщика</v>
      </c>
      <c r="D500" s="50" t="str">
        <f>Source!G305</f>
        <v>Трансформатор тока:Т-0,66</v>
      </c>
      <c r="E500" s="51" t="str">
        <f>Source!H305</f>
        <v>ШТ</v>
      </c>
      <c r="F500" s="52">
        <f>Source!K305</f>
        <v>12</v>
      </c>
      <c r="G500" s="53"/>
      <c r="H500" s="52">
        <f>Source!I305</f>
        <v>12</v>
      </c>
      <c r="I500" s="54">
        <f>Source!AL305</f>
        <v>1158.33</v>
      </c>
      <c r="J500" s="55"/>
      <c r="K500" s="54"/>
      <c r="L500" s="50"/>
      <c r="M500" s="54">
        <f>Source!P305</f>
        <v>13899.96</v>
      </c>
    </row>
    <row r="501" spans="1:82" ht="15">
      <c r="D501" s="111" t="s">
        <v>494</v>
      </c>
      <c r="E501" s="111"/>
      <c r="F501" s="111"/>
      <c r="G501" s="111"/>
      <c r="H501" s="111"/>
      <c r="I501" s="111"/>
      <c r="J501" s="112">
        <f>L501/F500</f>
        <v>1158.33</v>
      </c>
      <c r="K501" s="112"/>
      <c r="L501" s="112">
        <f>M500</f>
        <v>13899.96</v>
      </c>
      <c r="M501" s="112"/>
      <c r="AD501">
        <f>ROUND((Source!AT305/100)*((ROUND(ROUND(Source!AO305,2)*Source!I305, 2)+ROUND(ROUND(Source!AN305,2)*Source!I305, 2))), 2)</f>
        <v>0</v>
      </c>
      <c r="AE501">
        <f>ROUND((Source!AU305/100)*((ROUND(ROUND(Source!AO305,2)*Source!I305, 2)+ROUND(ROUND(Source!AN305,2)*Source!I305, 2))), 2)</f>
        <v>0</v>
      </c>
      <c r="AN501" s="56">
        <f>M500</f>
        <v>13899.96</v>
      </c>
      <c r="AO501">
        <f>0</f>
        <v>0</v>
      </c>
      <c r="AQ501" t="s">
        <v>495</v>
      </c>
      <c r="AR501">
        <f>0</f>
        <v>0</v>
      </c>
      <c r="AT501">
        <f>0</f>
        <v>0</v>
      </c>
      <c r="AV501" t="s">
        <v>495</v>
      </c>
      <c r="AW501" s="56">
        <f>M500</f>
        <v>13899.96</v>
      </c>
      <c r="AZ501">
        <f>Source!X305</f>
        <v>0</v>
      </c>
      <c r="BA501">
        <f>Source!Y305</f>
        <v>0</v>
      </c>
      <c r="CD501">
        <v>1</v>
      </c>
    </row>
    <row r="502" spans="1:82" ht="14.25">
      <c r="A502" s="65" t="s">
        <v>215</v>
      </c>
      <c r="B502" s="50">
        <v>30</v>
      </c>
      <c r="C502" s="50" t="str">
        <f>Source!F306</f>
        <v>цена поставщика</v>
      </c>
      <c r="D502" s="50" t="str">
        <f>Source!G306</f>
        <v>Коробка клеммная испытательная ИКК</v>
      </c>
      <c r="E502" s="51" t="str">
        <f>Source!H306</f>
        <v>ШТ</v>
      </c>
      <c r="F502" s="52">
        <f>Source!K306</f>
        <v>8</v>
      </c>
      <c r="G502" s="53"/>
      <c r="H502" s="52">
        <f>Source!I306</f>
        <v>8</v>
      </c>
      <c r="I502" s="54">
        <f>Source!AL306</f>
        <v>243.33</v>
      </c>
      <c r="J502" s="55"/>
      <c r="K502" s="54"/>
      <c r="L502" s="50"/>
      <c r="M502" s="54">
        <f>Source!P306</f>
        <v>1946.64</v>
      </c>
    </row>
    <row r="503" spans="1:82" ht="15">
      <c r="D503" s="111" t="s">
        <v>494</v>
      </c>
      <c r="E503" s="111"/>
      <c r="F503" s="111"/>
      <c r="G503" s="111"/>
      <c r="H503" s="111"/>
      <c r="I503" s="111"/>
      <c r="J503" s="112">
        <f>L503/F502</f>
        <v>243.33</v>
      </c>
      <c r="K503" s="112"/>
      <c r="L503" s="112">
        <f>M502</f>
        <v>1946.64</v>
      </c>
      <c r="M503" s="112"/>
      <c r="AD503">
        <f>ROUND((Source!AT306/100)*((ROUND(ROUND(Source!AO306,2)*Source!I306, 2)+ROUND(ROUND(Source!AN306,2)*Source!I306, 2))), 2)</f>
        <v>0</v>
      </c>
      <c r="AE503">
        <f>ROUND((Source!AU306/100)*((ROUND(ROUND(Source!AO306,2)*Source!I306, 2)+ROUND(ROUND(Source!AN306,2)*Source!I306, 2))), 2)</f>
        <v>0</v>
      </c>
      <c r="AN503" s="56">
        <f>M502</f>
        <v>1946.64</v>
      </c>
      <c r="AO503">
        <f>0</f>
        <v>0</v>
      </c>
      <c r="AQ503" t="s">
        <v>495</v>
      </c>
      <c r="AR503">
        <f>0</f>
        <v>0</v>
      </c>
      <c r="AT503">
        <f>0</f>
        <v>0</v>
      </c>
      <c r="AV503" t="s">
        <v>495</v>
      </c>
      <c r="AW503" s="56">
        <f>M502</f>
        <v>1946.64</v>
      </c>
      <c r="AZ503">
        <f>Source!X306</f>
        <v>0</v>
      </c>
      <c r="BA503">
        <f>Source!Y306</f>
        <v>0</v>
      </c>
      <c r="CD503">
        <v>1</v>
      </c>
    </row>
    <row r="504" spans="1:82" ht="42.75">
      <c r="A504" s="65" t="s">
        <v>217</v>
      </c>
      <c r="B504" s="50">
        <v>31</v>
      </c>
      <c r="C504" s="50" t="str">
        <f>Source!F307</f>
        <v>цена поставщика</v>
      </c>
      <c r="D504" s="50" t="str">
        <f>Source!G307</f>
        <v>Выключатели автоматические:«IEK» ВА47-29 3Р 10А, характеристика С (прим.)</v>
      </c>
      <c r="E504" s="51" t="str">
        <f>Source!H307</f>
        <v>ШТ</v>
      </c>
      <c r="F504" s="52">
        <f>Source!K307</f>
        <v>1</v>
      </c>
      <c r="G504" s="53"/>
      <c r="H504" s="52">
        <f>Source!I307</f>
        <v>1</v>
      </c>
      <c r="I504" s="54">
        <f>Source!AL307</f>
        <v>557.5</v>
      </c>
      <c r="J504" s="55"/>
      <c r="K504" s="54"/>
      <c r="L504" s="50"/>
      <c r="M504" s="54">
        <f>Source!P307</f>
        <v>557.5</v>
      </c>
    </row>
    <row r="505" spans="1:82" ht="15">
      <c r="D505" s="111" t="s">
        <v>494</v>
      </c>
      <c r="E505" s="111"/>
      <c r="F505" s="111"/>
      <c r="G505" s="111"/>
      <c r="H505" s="111"/>
      <c r="I505" s="111"/>
      <c r="J505" s="112">
        <f>L505/F504</f>
        <v>557.5</v>
      </c>
      <c r="K505" s="112"/>
      <c r="L505" s="112">
        <f>M504</f>
        <v>557.5</v>
      </c>
      <c r="M505" s="112"/>
      <c r="AD505">
        <f>ROUND((Source!AT307/100)*((ROUND(ROUND(Source!AO307,2)*Source!I307, 2)+ROUND(ROUND(Source!AN307,2)*Source!I307, 2))), 2)</f>
        <v>0</v>
      </c>
      <c r="AE505">
        <f>ROUND((Source!AU307/100)*((ROUND(ROUND(Source!AO307,2)*Source!I307, 2)+ROUND(ROUND(Source!AN307,2)*Source!I307, 2))), 2)</f>
        <v>0</v>
      </c>
      <c r="AN505" s="56">
        <f>M504</f>
        <v>557.5</v>
      </c>
      <c r="AO505">
        <f>0</f>
        <v>0</v>
      </c>
      <c r="AQ505" t="s">
        <v>495</v>
      </c>
      <c r="AR505">
        <f>0</f>
        <v>0</v>
      </c>
      <c r="AT505">
        <f>0</f>
        <v>0</v>
      </c>
      <c r="AV505" t="s">
        <v>495</v>
      </c>
      <c r="AW505" s="56">
        <f>M504</f>
        <v>557.5</v>
      </c>
      <c r="AZ505">
        <f>Source!X307</f>
        <v>0</v>
      </c>
      <c r="BA505">
        <f>Source!Y307</f>
        <v>0</v>
      </c>
      <c r="CD505">
        <v>1</v>
      </c>
    </row>
    <row r="506" spans="1:82" ht="14.25">
      <c r="A506" s="65" t="s">
        <v>219</v>
      </c>
      <c r="B506" s="50">
        <v>32</v>
      </c>
      <c r="C506" s="50" t="str">
        <f>Source!F308</f>
        <v>цена поставщика</v>
      </c>
      <c r="D506" s="50" t="str">
        <f>Source!G308</f>
        <v>Гофротруба</v>
      </c>
      <c r="E506" s="51" t="str">
        <f>Source!H308</f>
        <v>м</v>
      </c>
      <c r="F506" s="52">
        <f>Source!K308</f>
        <v>25</v>
      </c>
      <c r="G506" s="53"/>
      <c r="H506" s="52">
        <f>Source!I308</f>
        <v>25</v>
      </c>
      <c r="I506" s="54">
        <f>Source!AL308</f>
        <v>21.67</v>
      </c>
      <c r="J506" s="55"/>
      <c r="K506" s="54"/>
      <c r="L506" s="50"/>
      <c r="M506" s="54">
        <f>Source!P308</f>
        <v>541.75</v>
      </c>
    </row>
    <row r="507" spans="1:82" ht="15">
      <c r="D507" s="111" t="s">
        <v>494</v>
      </c>
      <c r="E507" s="111"/>
      <c r="F507" s="111"/>
      <c r="G507" s="111"/>
      <c r="H507" s="111"/>
      <c r="I507" s="111"/>
      <c r="J507" s="112">
        <f>L507/F506</f>
        <v>21.67</v>
      </c>
      <c r="K507" s="112"/>
      <c r="L507" s="112">
        <f>M506</f>
        <v>541.75</v>
      </c>
      <c r="M507" s="112"/>
      <c r="AD507">
        <f>ROUND((Source!AT308/100)*((ROUND(ROUND(Source!AO308,2)*Source!I308, 2)+ROUND(ROUND(Source!AN308,2)*Source!I308, 2))), 2)</f>
        <v>0</v>
      </c>
      <c r="AE507">
        <f>ROUND((Source!AU308/100)*((ROUND(ROUND(Source!AO308,2)*Source!I308, 2)+ROUND(ROUND(Source!AN308,2)*Source!I308, 2))), 2)</f>
        <v>0</v>
      </c>
      <c r="AN507" s="56">
        <f>M506</f>
        <v>541.75</v>
      </c>
      <c r="AO507">
        <f>0</f>
        <v>0</v>
      </c>
      <c r="AQ507" t="s">
        <v>495</v>
      </c>
      <c r="AR507">
        <f>0</f>
        <v>0</v>
      </c>
      <c r="AT507">
        <f>0</f>
        <v>0</v>
      </c>
      <c r="AV507" t="s">
        <v>495</v>
      </c>
      <c r="AW507" s="56">
        <f>M506</f>
        <v>541.75</v>
      </c>
      <c r="AZ507">
        <f>Source!X308</f>
        <v>0</v>
      </c>
      <c r="BA507">
        <f>Source!Y308</f>
        <v>0</v>
      </c>
      <c r="CD507">
        <v>1</v>
      </c>
    </row>
    <row r="508" spans="1:82" ht="14.25">
      <c r="A508" s="65" t="s">
        <v>221</v>
      </c>
      <c r="B508" s="50">
        <v>33</v>
      </c>
      <c r="C508" s="50" t="str">
        <f>Source!F309</f>
        <v>цена поставщика</v>
      </c>
      <c r="D508" s="50" t="str">
        <f>Source!G309</f>
        <v>Кабель КВВГ 10*1,5 мм2</v>
      </c>
      <c r="E508" s="51" t="str">
        <f>Source!H309</f>
        <v>м</v>
      </c>
      <c r="F508" s="52">
        <f>Source!K309</f>
        <v>20</v>
      </c>
      <c r="G508" s="53"/>
      <c r="H508" s="52">
        <f>Source!I309</f>
        <v>20</v>
      </c>
      <c r="I508" s="54">
        <f>Source!AL309</f>
        <v>195.83</v>
      </c>
      <c r="J508" s="55"/>
      <c r="K508" s="54"/>
      <c r="L508" s="50"/>
      <c r="M508" s="54">
        <f>Source!P309</f>
        <v>3916.6</v>
      </c>
    </row>
    <row r="509" spans="1:82" ht="15">
      <c r="D509" s="111" t="s">
        <v>494</v>
      </c>
      <c r="E509" s="111"/>
      <c r="F509" s="111"/>
      <c r="G509" s="111"/>
      <c r="H509" s="111"/>
      <c r="I509" s="111"/>
      <c r="J509" s="112">
        <f>L509/F508</f>
        <v>195.82999999999998</v>
      </c>
      <c r="K509" s="112"/>
      <c r="L509" s="112">
        <f>M508</f>
        <v>3916.6</v>
      </c>
      <c r="M509" s="112"/>
      <c r="AD509">
        <f>ROUND((Source!AT309/100)*((ROUND(ROUND(Source!AO309,2)*Source!I309, 2)+ROUND(ROUND(Source!AN309,2)*Source!I309, 2))), 2)</f>
        <v>0</v>
      </c>
      <c r="AE509">
        <f>ROUND((Source!AU309/100)*((ROUND(ROUND(Source!AO309,2)*Source!I309, 2)+ROUND(ROUND(Source!AN309,2)*Source!I309, 2))), 2)</f>
        <v>0</v>
      </c>
      <c r="AN509" s="56">
        <f>M508</f>
        <v>3916.6</v>
      </c>
      <c r="AO509">
        <f>0</f>
        <v>0</v>
      </c>
      <c r="AQ509" t="s">
        <v>495</v>
      </c>
      <c r="AR509">
        <f>0</f>
        <v>0</v>
      </c>
      <c r="AT509">
        <f>0</f>
        <v>0</v>
      </c>
      <c r="AV509" t="s">
        <v>495</v>
      </c>
      <c r="AW509" s="56">
        <f>M508</f>
        <v>3916.6</v>
      </c>
      <c r="AZ509">
        <f>Source!X309</f>
        <v>0</v>
      </c>
      <c r="BA509">
        <f>Source!Y309</f>
        <v>0</v>
      </c>
      <c r="CD509">
        <v>1</v>
      </c>
    </row>
    <row r="510" spans="1:82" ht="14.25">
      <c r="A510" s="65" t="s">
        <v>223</v>
      </c>
      <c r="B510" s="50">
        <v>34</v>
      </c>
      <c r="C510" s="50" t="str">
        <f>Source!F310</f>
        <v>цена поставщика</v>
      </c>
      <c r="D510" s="50" t="str">
        <f>Source!G310</f>
        <v>Кабель ВВГнг 4*1,5 мм2</v>
      </c>
      <c r="E510" s="51" t="str">
        <f>Source!H310</f>
        <v>м</v>
      </c>
      <c r="F510" s="52">
        <f>Source!K310</f>
        <v>5</v>
      </c>
      <c r="G510" s="53"/>
      <c r="H510" s="52">
        <f>Source!I310</f>
        <v>5</v>
      </c>
      <c r="I510" s="54">
        <f>Source!AL310</f>
        <v>70</v>
      </c>
      <c r="J510" s="55"/>
      <c r="K510" s="54"/>
      <c r="L510" s="50"/>
      <c r="M510" s="54">
        <f>Source!P310</f>
        <v>350</v>
      </c>
    </row>
    <row r="511" spans="1:82" ht="15">
      <c r="D511" s="111" t="s">
        <v>494</v>
      </c>
      <c r="E511" s="111"/>
      <c r="F511" s="111"/>
      <c r="G511" s="111"/>
      <c r="H511" s="111"/>
      <c r="I511" s="111"/>
      <c r="J511" s="112">
        <f>L511/F510</f>
        <v>70</v>
      </c>
      <c r="K511" s="112"/>
      <c r="L511" s="112">
        <f>M510</f>
        <v>350</v>
      </c>
      <c r="M511" s="112"/>
      <c r="AD511">
        <f>ROUND((Source!AT310/100)*((ROUND(ROUND(Source!AO310,2)*Source!I310, 2)+ROUND(ROUND(Source!AN310,2)*Source!I310, 2))), 2)</f>
        <v>0</v>
      </c>
      <c r="AE511">
        <f>ROUND((Source!AU310/100)*((ROUND(ROUND(Source!AO310,2)*Source!I310, 2)+ROUND(ROUND(Source!AN310,2)*Source!I310, 2))), 2)</f>
        <v>0</v>
      </c>
      <c r="AN511" s="56">
        <f>M510</f>
        <v>350</v>
      </c>
      <c r="AO511">
        <f>0</f>
        <v>0</v>
      </c>
      <c r="AQ511" t="s">
        <v>495</v>
      </c>
      <c r="AR511">
        <f>0</f>
        <v>0</v>
      </c>
      <c r="AT511">
        <f>0</f>
        <v>0</v>
      </c>
      <c r="AV511" t="s">
        <v>495</v>
      </c>
      <c r="AW511" s="56">
        <f>M510</f>
        <v>350</v>
      </c>
      <c r="AZ511">
        <f>Source!X310</f>
        <v>0</v>
      </c>
      <c r="BA511">
        <f>Source!Y310</f>
        <v>0</v>
      </c>
      <c r="CD511">
        <v>1</v>
      </c>
    </row>
    <row r="513" spans="1:13" ht="15">
      <c r="A513" s="62"/>
      <c r="B513" s="62"/>
      <c r="C513" s="63"/>
      <c r="D513" s="129" t="s">
        <v>501</v>
      </c>
      <c r="E513" s="129"/>
      <c r="F513" s="129"/>
      <c r="G513" s="129"/>
      <c r="H513" s="129"/>
      <c r="I513" s="129"/>
      <c r="J513" s="49"/>
      <c r="K513" s="62"/>
      <c r="L513" s="64"/>
      <c r="M513" s="49">
        <f>M515+M516+M522+M526</f>
        <v>192126.60000000003</v>
      </c>
    </row>
    <row r="514" spans="1:13" ht="14.25">
      <c r="A514" s="59"/>
      <c r="B514" s="59"/>
      <c r="C514" s="61"/>
      <c r="D514" s="128" t="s">
        <v>502</v>
      </c>
      <c r="E514" s="127"/>
      <c r="F514" s="127"/>
      <c r="G514" s="127"/>
      <c r="H514" s="127"/>
      <c r="I514" s="127"/>
      <c r="J514" s="48"/>
      <c r="K514" s="59"/>
      <c r="L514" s="45"/>
      <c r="M514" s="48"/>
    </row>
    <row r="515" spans="1:13" ht="14.25" hidden="1">
      <c r="A515" s="59"/>
      <c r="B515" s="59"/>
      <c r="C515" s="61"/>
      <c r="D515" s="127" t="s">
        <v>503</v>
      </c>
      <c r="E515" s="127"/>
      <c r="F515" s="127"/>
      <c r="G515" s="127"/>
      <c r="H515" s="127"/>
      <c r="I515" s="127"/>
      <c r="J515" s="48"/>
      <c r="K515" s="59"/>
      <c r="L515" s="45"/>
      <c r="M515" s="48">
        <f>SUM(AR493:AR511)</f>
        <v>0</v>
      </c>
    </row>
    <row r="516" spans="1:13" ht="14.25" hidden="1">
      <c r="A516" s="59"/>
      <c r="B516" s="59"/>
      <c r="C516" s="61"/>
      <c r="D516" s="127" t="s">
        <v>504</v>
      </c>
      <c r="E516" s="127"/>
      <c r="F516" s="127"/>
      <c r="G516" s="127"/>
      <c r="H516" s="127"/>
      <c r="I516" s="127"/>
      <c r="J516" s="48"/>
      <c r="K516" s="59"/>
      <c r="L516" s="45"/>
      <c r="M516" s="48">
        <f>M518+M521+M520</f>
        <v>0</v>
      </c>
    </row>
    <row r="517" spans="1:13" ht="14.25" hidden="1">
      <c r="A517" s="59"/>
      <c r="B517" s="59"/>
      <c r="C517" s="61"/>
      <c r="D517" s="128" t="s">
        <v>505</v>
      </c>
      <c r="E517" s="127"/>
      <c r="F517" s="127"/>
      <c r="G517" s="127"/>
      <c r="H517" s="127"/>
      <c r="I517" s="127"/>
      <c r="J517" s="48"/>
      <c r="K517" s="59"/>
      <c r="L517" s="45"/>
      <c r="M517" s="48"/>
    </row>
    <row r="518" spans="1:13" ht="14.25" hidden="1">
      <c r="A518" s="59"/>
      <c r="B518" s="59"/>
      <c r="C518" s="61"/>
      <c r="D518" s="127" t="s">
        <v>504</v>
      </c>
      <c r="E518" s="127"/>
      <c r="F518" s="127"/>
      <c r="G518" s="127"/>
      <c r="H518" s="127"/>
      <c r="I518" s="127"/>
      <c r="J518" s="48"/>
      <c r="K518" s="59"/>
      <c r="L518" s="45"/>
      <c r="M518" s="48">
        <f>SUM(AO493:AO511)</f>
        <v>0</v>
      </c>
    </row>
    <row r="519" spans="1:13" ht="14.25" hidden="1">
      <c r="A519" s="59"/>
      <c r="B519" s="59"/>
      <c r="C519" s="61"/>
      <c r="D519" s="128" t="s">
        <v>506</v>
      </c>
      <c r="E519" s="127"/>
      <c r="F519" s="127"/>
      <c r="G519" s="127"/>
      <c r="H519" s="127"/>
      <c r="I519" s="127"/>
      <c r="J519" s="48"/>
      <c r="K519" s="59"/>
      <c r="L519" s="45"/>
      <c r="M519" s="48"/>
    </row>
    <row r="520" spans="1:13" ht="14.25" hidden="1">
      <c r="A520" s="59"/>
      <c r="B520" s="59"/>
      <c r="C520" s="61"/>
      <c r="D520" s="127" t="s">
        <v>526</v>
      </c>
      <c r="E520" s="127"/>
      <c r="F520" s="127"/>
      <c r="G520" s="127"/>
      <c r="H520" s="127"/>
      <c r="I520" s="127"/>
      <c r="J520" s="48"/>
      <c r="K520" s="59"/>
      <c r="L520" s="45"/>
      <c r="M520" s="48">
        <f>SUM(AT493:AT511)</f>
        <v>0</v>
      </c>
    </row>
    <row r="521" spans="1:13" ht="14.25" hidden="1">
      <c r="A521" s="59"/>
      <c r="B521" s="59"/>
      <c r="C521" s="61"/>
      <c r="D521" s="127" t="s">
        <v>507</v>
      </c>
      <c r="E521" s="127"/>
      <c r="F521" s="127"/>
      <c r="G521" s="127"/>
      <c r="H521" s="127"/>
      <c r="I521" s="127"/>
      <c r="J521" s="48"/>
      <c r="K521" s="59"/>
      <c r="L521" s="45"/>
      <c r="M521" s="48">
        <f>SUM(AV493:AV511)</f>
        <v>0</v>
      </c>
    </row>
    <row r="522" spans="1:13" ht="14.25">
      <c r="A522" s="59"/>
      <c r="B522" s="59"/>
      <c r="C522" s="61"/>
      <c r="D522" s="127" t="s">
        <v>508</v>
      </c>
      <c r="E522" s="127"/>
      <c r="F522" s="127"/>
      <c r="G522" s="127"/>
      <c r="H522" s="127"/>
      <c r="I522" s="127"/>
      <c r="J522" s="48"/>
      <c r="K522" s="59"/>
      <c r="L522" s="45"/>
      <c r="M522" s="48">
        <f>M524+M525</f>
        <v>192126.60000000003</v>
      </c>
    </row>
    <row r="523" spans="1:13" ht="14.25">
      <c r="A523" s="59"/>
      <c r="B523" s="59"/>
      <c r="C523" s="61"/>
      <c r="D523" s="128" t="s">
        <v>505</v>
      </c>
      <c r="E523" s="127"/>
      <c r="F523" s="127"/>
      <c r="G523" s="127"/>
      <c r="H523" s="127"/>
      <c r="I523" s="127"/>
      <c r="J523" s="48"/>
      <c r="K523" s="59"/>
      <c r="L523" s="45"/>
      <c r="M523" s="48"/>
    </row>
    <row r="524" spans="1:13" ht="14.25">
      <c r="A524" s="59"/>
      <c r="B524" s="59"/>
      <c r="C524" s="61"/>
      <c r="D524" s="127" t="s">
        <v>509</v>
      </c>
      <c r="E524" s="127"/>
      <c r="F524" s="127"/>
      <c r="G524" s="127"/>
      <c r="H524" s="127"/>
      <c r="I524" s="127"/>
      <c r="J524" s="48"/>
      <c r="K524" s="59"/>
      <c r="L524" s="45"/>
      <c r="M524" s="48">
        <f>SUM(AW493:AW511)-SUM(BK493:BK511)</f>
        <v>192126.60000000003</v>
      </c>
    </row>
    <row r="525" spans="1:13" ht="14.25" hidden="1">
      <c r="A525" s="59"/>
      <c r="B525" s="59"/>
      <c r="C525" s="61"/>
      <c r="D525" s="127" t="s">
        <v>510</v>
      </c>
      <c r="E525" s="127"/>
      <c r="F525" s="127"/>
      <c r="G525" s="127"/>
      <c r="H525" s="127"/>
      <c r="I525" s="127"/>
      <c r="J525" s="48"/>
      <c r="K525" s="59"/>
      <c r="L525" s="45"/>
      <c r="M525" s="48">
        <f>SUM(BC493:BC511)</f>
        <v>0</v>
      </c>
    </row>
    <row r="526" spans="1:13" ht="14.25" hidden="1">
      <c r="A526" s="59"/>
      <c r="B526" s="59"/>
      <c r="C526" s="61"/>
      <c r="D526" s="127" t="s">
        <v>511</v>
      </c>
      <c r="E526" s="127"/>
      <c r="F526" s="127"/>
      <c r="G526" s="127"/>
      <c r="H526" s="127"/>
      <c r="I526" s="127"/>
      <c r="J526" s="48"/>
      <c r="K526" s="59"/>
      <c r="L526" s="45"/>
      <c r="M526" s="48">
        <f>SUM(BB493:BB511)</f>
        <v>0</v>
      </c>
    </row>
    <row r="527" spans="1:13" ht="14.25" hidden="1">
      <c r="A527" s="59"/>
      <c r="B527" s="59"/>
      <c r="C527" s="61"/>
      <c r="D527" s="127" t="s">
        <v>512</v>
      </c>
      <c r="E527" s="127"/>
      <c r="F527" s="127"/>
      <c r="G527" s="127"/>
      <c r="H527" s="127"/>
      <c r="I527" s="127"/>
      <c r="J527" s="48"/>
      <c r="K527" s="59"/>
      <c r="L527" s="45"/>
      <c r="M527" s="48">
        <f>SUM(AR493:AR511)+SUM(AT493:AT511)+SUM(AV493:AV511)</f>
        <v>0</v>
      </c>
    </row>
    <row r="528" spans="1:13" ht="14.25" hidden="1">
      <c r="A528" s="59"/>
      <c r="B528" s="59"/>
      <c r="C528" s="61"/>
      <c r="D528" s="127" t="s">
        <v>513</v>
      </c>
      <c r="E528" s="127"/>
      <c r="F528" s="127"/>
      <c r="G528" s="127"/>
      <c r="H528" s="127"/>
      <c r="I528" s="127"/>
      <c r="J528" s="48"/>
      <c r="K528" s="59"/>
      <c r="L528" s="45"/>
      <c r="M528" s="48">
        <f>SUM(AZ493:AZ511)</f>
        <v>0</v>
      </c>
    </row>
    <row r="529" spans="1:13" ht="14.25" hidden="1">
      <c r="A529" s="59"/>
      <c r="B529" s="59"/>
      <c r="C529" s="61"/>
      <c r="D529" s="127" t="s">
        <v>514</v>
      </c>
      <c r="E529" s="127"/>
      <c r="F529" s="127"/>
      <c r="G529" s="127"/>
      <c r="H529" s="127"/>
      <c r="I529" s="127"/>
      <c r="J529" s="48"/>
      <c r="K529" s="59"/>
      <c r="L529" s="45"/>
      <c r="M529" s="48">
        <f>SUM(BA493:BA511)</f>
        <v>0</v>
      </c>
    </row>
    <row r="530" spans="1:13" ht="14.25" hidden="1">
      <c r="A530" s="59"/>
      <c r="B530" s="59"/>
      <c r="C530" s="61"/>
      <c r="D530" s="127" t="s">
        <v>515</v>
      </c>
      <c r="E530" s="127"/>
      <c r="F530" s="127"/>
      <c r="G530" s="127"/>
      <c r="H530" s="127"/>
      <c r="I530" s="127"/>
      <c r="J530" s="48"/>
      <c r="K530" s="59"/>
      <c r="L530" s="45"/>
      <c r="M530" s="48">
        <f>M532+M533</f>
        <v>0</v>
      </c>
    </row>
    <row r="531" spans="1:13" ht="14.25" hidden="1">
      <c r="A531" s="59"/>
      <c r="B531" s="59"/>
      <c r="C531" s="61"/>
      <c r="D531" s="128" t="s">
        <v>502</v>
      </c>
      <c r="E531" s="127"/>
      <c r="F531" s="127"/>
      <c r="G531" s="127"/>
      <c r="H531" s="127"/>
      <c r="I531" s="127"/>
      <c r="J531" s="48"/>
      <c r="K531" s="59"/>
      <c r="L531" s="45"/>
      <c r="M531" s="48"/>
    </row>
    <row r="532" spans="1:13" ht="14.25" hidden="1">
      <c r="A532" s="59"/>
      <c r="B532" s="59"/>
      <c r="C532" s="61"/>
      <c r="D532" s="127" t="s">
        <v>516</v>
      </c>
      <c r="E532" s="127"/>
      <c r="F532" s="127"/>
      <c r="G532" s="127"/>
      <c r="H532" s="127"/>
      <c r="I532" s="127"/>
      <c r="J532" s="48"/>
      <c r="K532" s="59"/>
      <c r="L532" s="45"/>
      <c r="M532" s="48">
        <f>SUM(BK493:BK511)</f>
        <v>0</v>
      </c>
    </row>
    <row r="533" spans="1:13" ht="14.25" hidden="1">
      <c r="A533" s="59"/>
      <c r="B533" s="59"/>
      <c r="C533" s="61"/>
      <c r="D533" s="127" t="s">
        <v>517</v>
      </c>
      <c r="E533" s="127"/>
      <c r="F533" s="127"/>
      <c r="G533" s="127"/>
      <c r="H533" s="127"/>
      <c r="I533" s="127"/>
      <c r="J533" s="48"/>
      <c r="K533" s="59"/>
      <c r="L533" s="45"/>
      <c r="M533" s="48">
        <f>SUM(BD493:BD511)</f>
        <v>0</v>
      </c>
    </row>
    <row r="534" spans="1:13" ht="14.25" hidden="1">
      <c r="A534" s="59"/>
      <c r="B534" s="59"/>
      <c r="C534" s="61"/>
      <c r="D534" s="127" t="s">
        <v>518</v>
      </c>
      <c r="E534" s="127"/>
      <c r="F534" s="127"/>
      <c r="G534" s="127"/>
      <c r="H534" s="127"/>
      <c r="I534" s="127"/>
      <c r="J534" s="48"/>
      <c r="K534" s="59"/>
      <c r="L534" s="45"/>
      <c r="M534" s="48"/>
    </row>
    <row r="535" spans="1:13" ht="14.25" hidden="1">
      <c r="A535" s="59"/>
      <c r="B535" s="59"/>
      <c r="C535" s="61"/>
      <c r="D535" s="127" t="s">
        <v>519</v>
      </c>
      <c r="E535" s="127"/>
      <c r="F535" s="127"/>
      <c r="G535" s="127"/>
      <c r="H535" s="127"/>
      <c r="I535" s="127"/>
      <c r="J535" s="48"/>
      <c r="K535" s="59"/>
      <c r="L535" s="45"/>
      <c r="M535" s="48">
        <f>SUM(BO493:BO511)</f>
        <v>0</v>
      </c>
    </row>
    <row r="536" spans="1:13" ht="15">
      <c r="A536" s="62"/>
      <c r="B536" s="62"/>
      <c r="C536" s="63"/>
      <c r="D536" s="129" t="s">
        <v>520</v>
      </c>
      <c r="E536" s="129"/>
      <c r="F536" s="129"/>
      <c r="G536" s="129"/>
      <c r="H536" s="129"/>
      <c r="I536" s="129"/>
      <c r="J536" s="49"/>
      <c r="K536" s="62"/>
      <c r="L536" s="64"/>
      <c r="M536" s="49">
        <f>M513+M528+M529+M530+M534+M535</f>
        <v>192126.60000000003</v>
      </c>
    </row>
    <row r="537" spans="1:13" ht="14.25" hidden="1">
      <c r="A537" s="59"/>
      <c r="B537" s="59"/>
      <c r="C537" s="61"/>
      <c r="D537" s="128" t="s">
        <v>521</v>
      </c>
      <c r="E537" s="127"/>
      <c r="F537" s="127"/>
      <c r="G537" s="127"/>
      <c r="H537" s="127"/>
      <c r="I537" s="127"/>
      <c r="J537" s="48"/>
      <c r="K537" s="59"/>
      <c r="L537" s="45"/>
      <c r="M537" s="48"/>
    </row>
    <row r="538" spans="1:13" ht="14.25" hidden="1">
      <c r="A538" s="59"/>
      <c r="B538" s="59"/>
      <c r="C538" s="61"/>
      <c r="D538" s="127" t="s">
        <v>522</v>
      </c>
      <c r="E538" s="127"/>
      <c r="F538" s="127"/>
      <c r="G538" s="127"/>
      <c r="H538" s="127"/>
      <c r="I538" s="127"/>
      <c r="J538" s="48"/>
      <c r="K538" s="59"/>
      <c r="L538" s="45"/>
      <c r="M538" s="48">
        <f>SUM(AX493:AX511)</f>
        <v>0</v>
      </c>
    </row>
    <row r="539" spans="1:13" ht="14.25" hidden="1">
      <c r="A539" s="59"/>
      <c r="B539" s="59"/>
      <c r="C539" s="61"/>
      <c r="D539" s="127" t="s">
        <v>523</v>
      </c>
      <c r="E539" s="127"/>
      <c r="F539" s="127"/>
      <c r="G539" s="127"/>
      <c r="H539" s="127"/>
      <c r="I539" s="127"/>
      <c r="J539" s="48"/>
      <c r="K539" s="59"/>
      <c r="L539" s="45"/>
      <c r="M539" s="48">
        <f>SUM(AY493:AY511)</f>
        <v>0</v>
      </c>
    </row>
    <row r="540" spans="1:13" ht="14.25" hidden="1" customHeight="1">
      <c r="A540" s="59"/>
      <c r="B540" s="59"/>
      <c r="C540" s="61"/>
      <c r="D540" s="127" t="s">
        <v>524</v>
      </c>
      <c r="E540" s="127"/>
      <c r="F540" s="127"/>
      <c r="G540" s="130"/>
      <c r="H540" s="47">
        <f>Source!F334</f>
        <v>0</v>
      </c>
      <c r="I540" s="59"/>
      <c r="J540" s="59"/>
      <c r="K540" s="59"/>
      <c r="L540" s="59"/>
      <c r="M540" s="59"/>
    </row>
    <row r="541" spans="1:13" ht="14.25" hidden="1" customHeight="1">
      <c r="A541" s="59"/>
      <c r="B541" s="59"/>
      <c r="C541" s="61"/>
      <c r="D541" s="127" t="s">
        <v>525</v>
      </c>
      <c r="E541" s="127"/>
      <c r="F541" s="127"/>
      <c r="G541" s="130"/>
      <c r="H541" s="47">
        <f>Source!F335</f>
        <v>0</v>
      </c>
      <c r="I541" s="59"/>
      <c r="J541" s="59"/>
      <c r="K541" s="59"/>
      <c r="L541" s="59"/>
      <c r="M541" s="59"/>
    </row>
    <row r="543" spans="1:13" ht="14.25">
      <c r="D543" s="131" t="str">
        <f>Source!H351</f>
        <v>НДС 20%</v>
      </c>
      <c r="E543" s="131"/>
      <c r="F543" s="131"/>
      <c r="G543" s="131"/>
      <c r="H543" s="131"/>
      <c r="I543" s="131"/>
      <c r="J543" s="131"/>
      <c r="K543" s="131"/>
      <c r="L543" s="131"/>
      <c r="M543" s="57">
        <f>IF(Source!Y351=0, "", Source!Y351)</f>
        <v>38425.32</v>
      </c>
    </row>
    <row r="544" spans="1:13" ht="14.25">
      <c r="D544" s="131" t="str">
        <f>Source!H352</f>
        <v>ИТОГО с НДС</v>
      </c>
      <c r="E544" s="131"/>
      <c r="F544" s="131"/>
      <c r="G544" s="131"/>
      <c r="H544" s="131"/>
      <c r="I544" s="131"/>
      <c r="J544" s="131"/>
      <c r="K544" s="131"/>
      <c r="L544" s="131"/>
      <c r="M544" s="57">
        <f>IF(Source!Y352=0, "", Source!Y352)</f>
        <v>230551.92</v>
      </c>
    </row>
    <row r="546" spans="1:82" ht="16.5">
      <c r="A546" s="110" t="s">
        <v>553</v>
      </c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</row>
    <row r="547" spans="1:82" ht="57">
      <c r="A547" s="40" t="s">
        <v>226</v>
      </c>
      <c r="B547" s="42">
        <v>35</v>
      </c>
      <c r="C547" s="42" t="s">
        <v>554</v>
      </c>
      <c r="D547" s="42" t="str">
        <f>Source!G358</f>
        <v>Выключатель автоматический постоянного тока быстродействующий напряжением свыше 1 кВ, номинальный ток: до 1000 А</v>
      </c>
      <c r="E547" s="43" t="str">
        <f>Source!H358</f>
        <v>ШТ</v>
      </c>
      <c r="F547" s="47">
        <f>Source!K358</f>
        <v>1</v>
      </c>
      <c r="G547" s="41"/>
      <c r="H547" s="47">
        <f>Source!I358</f>
        <v>1</v>
      </c>
      <c r="I547" s="48"/>
      <c r="J547" s="46"/>
      <c r="K547" s="48"/>
      <c r="L547" s="42"/>
      <c r="M547" s="48"/>
    </row>
    <row r="548" spans="1:82" ht="15">
      <c r="A548" s="41"/>
      <c r="B548" s="41"/>
      <c r="C548" s="45">
        <v>1</v>
      </c>
      <c r="D548" s="41" t="s">
        <v>483</v>
      </c>
      <c r="E548" s="43" t="s">
        <v>321</v>
      </c>
      <c r="F548" s="47"/>
      <c r="G548" s="45"/>
      <c r="H548" s="47">
        <f>Source!U358</f>
        <v>7.2</v>
      </c>
      <c r="I548" s="45"/>
      <c r="J548" s="45"/>
      <c r="K548" s="45"/>
      <c r="L548" s="45"/>
      <c r="M548" s="49">
        <f>SUM(M549:M551)-SUMIF(CE549:CE551, 1, M549:M551)</f>
        <v>2768.69</v>
      </c>
    </row>
    <row r="549" spans="1:82" ht="14.25">
      <c r="A549" s="42"/>
      <c r="B549" s="42"/>
      <c r="C549" s="42" t="s">
        <v>430</v>
      </c>
      <c r="D549" s="42" t="s">
        <v>431</v>
      </c>
      <c r="E549" s="43" t="s">
        <v>368</v>
      </c>
      <c r="F549" s="47">
        <v>1.44</v>
      </c>
      <c r="G549" s="41"/>
      <c r="H549" s="47">
        <f>SmtRes!CX112</f>
        <v>1.44</v>
      </c>
      <c r="I549" s="48"/>
      <c r="J549" s="46"/>
      <c r="K549" s="48">
        <f>SmtRes!CZ112</f>
        <v>303.11</v>
      </c>
      <c r="L549" s="42"/>
      <c r="M549" s="48">
        <f>SmtRes!DI112</f>
        <v>436.48</v>
      </c>
    </row>
    <row r="550" spans="1:82" ht="14.25">
      <c r="A550" s="42"/>
      <c r="B550" s="42"/>
      <c r="C550" s="42" t="s">
        <v>432</v>
      </c>
      <c r="D550" s="42" t="s">
        <v>433</v>
      </c>
      <c r="E550" s="43" t="s">
        <v>368</v>
      </c>
      <c r="F550" s="47">
        <v>1.44</v>
      </c>
      <c r="G550" s="41"/>
      <c r="H550" s="47">
        <f>SmtRes!CX113</f>
        <v>1.44</v>
      </c>
      <c r="I550" s="48"/>
      <c r="J550" s="46"/>
      <c r="K550" s="48">
        <f>SmtRes!CZ113</f>
        <v>289.54000000000002</v>
      </c>
      <c r="L550" s="42"/>
      <c r="M550" s="48">
        <f>SmtRes!DI113</f>
        <v>416.94</v>
      </c>
    </row>
    <row r="551" spans="1:82" ht="14.25">
      <c r="A551" s="42"/>
      <c r="B551" s="42"/>
      <c r="C551" s="42" t="s">
        <v>369</v>
      </c>
      <c r="D551" s="50" t="s">
        <v>370</v>
      </c>
      <c r="E551" s="51" t="s">
        <v>368</v>
      </c>
      <c r="F551" s="52">
        <v>4.32</v>
      </c>
      <c r="G551" s="53"/>
      <c r="H551" s="52">
        <f>SmtRes!CX114</f>
        <v>4.32</v>
      </c>
      <c r="I551" s="54"/>
      <c r="J551" s="55"/>
      <c r="K551" s="54">
        <f>SmtRes!CZ114</f>
        <v>443.35</v>
      </c>
      <c r="L551" s="50"/>
      <c r="M551" s="54">
        <f>SmtRes!DI114</f>
        <v>1915.27</v>
      </c>
    </row>
    <row r="552" spans="1:82" ht="15">
      <c r="A552" s="42"/>
      <c r="B552" s="42"/>
      <c r="C552" s="42"/>
      <c r="D552" s="58" t="s">
        <v>489</v>
      </c>
      <c r="E552" s="43"/>
      <c r="F552" s="47"/>
      <c r="G552" s="41"/>
      <c r="H552" s="47"/>
      <c r="I552" s="48"/>
      <c r="J552" s="46"/>
      <c r="K552" s="48"/>
      <c r="L552" s="42"/>
      <c r="M552" s="48">
        <f>M548</f>
        <v>2768.69</v>
      </c>
    </row>
    <row r="553" spans="1:82" ht="14.25">
      <c r="A553" s="42"/>
      <c r="B553" s="42"/>
      <c r="C553" s="42"/>
      <c r="D553" s="42" t="s">
        <v>491</v>
      </c>
      <c r="E553" s="43"/>
      <c r="F553" s="47"/>
      <c r="G553" s="41"/>
      <c r="H553" s="47"/>
      <c r="I553" s="48"/>
      <c r="J553" s="46"/>
      <c r="K553" s="48"/>
      <c r="L553" s="42"/>
      <c r="M553" s="48">
        <f>SUM(AR547:AR556)+SUM(AS547:AS556)+SUM(AT547:AT556)+SUM(AU547:AU556)+SUM(AV547:AV556)</f>
        <v>2768.69</v>
      </c>
    </row>
    <row r="554" spans="1:82" ht="14.25">
      <c r="A554" s="42"/>
      <c r="B554" s="42"/>
      <c r="C554" s="42" t="s">
        <v>233</v>
      </c>
      <c r="D554" s="42" t="s">
        <v>555</v>
      </c>
      <c r="E554" s="43" t="s">
        <v>30</v>
      </c>
      <c r="F554" s="47">
        <f>Source!BZ358</f>
        <v>74</v>
      </c>
      <c r="G554" s="41"/>
      <c r="H554" s="47">
        <f>Source!AT358</f>
        <v>74</v>
      </c>
      <c r="I554" s="48"/>
      <c r="J554" s="46"/>
      <c r="K554" s="48"/>
      <c r="L554" s="42"/>
      <c r="M554" s="48">
        <f>SUM(AZ547:AZ556)</f>
        <v>2048.83</v>
      </c>
    </row>
    <row r="555" spans="1:82" ht="14.25">
      <c r="A555" s="50"/>
      <c r="B555" s="50"/>
      <c r="C555" s="50" t="s">
        <v>234</v>
      </c>
      <c r="D555" s="50" t="s">
        <v>556</v>
      </c>
      <c r="E555" s="51" t="s">
        <v>30</v>
      </c>
      <c r="F555" s="52">
        <f>Source!CA358</f>
        <v>36</v>
      </c>
      <c r="G555" s="53"/>
      <c r="H555" s="52">
        <f>Source!AU358</f>
        <v>36</v>
      </c>
      <c r="I555" s="54"/>
      <c r="J555" s="55"/>
      <c r="K555" s="54"/>
      <c r="L555" s="50"/>
      <c r="M555" s="54">
        <f>SUM(BA547:BA556)</f>
        <v>996.73</v>
      </c>
    </row>
    <row r="556" spans="1:82" ht="15">
      <c r="D556" s="111" t="s">
        <v>494</v>
      </c>
      <c r="E556" s="111"/>
      <c r="F556" s="111"/>
      <c r="G556" s="111"/>
      <c r="H556" s="111"/>
      <c r="I556" s="111"/>
      <c r="J556" s="112">
        <f>L556/F547</f>
        <v>5814.25</v>
      </c>
      <c r="K556" s="112"/>
      <c r="L556" s="112">
        <f>M548+M554+M555</f>
        <v>5814.25</v>
      </c>
      <c r="M556" s="112"/>
      <c r="AD556">
        <f>ROUND((Source!AT358/100)*((ROUND(SUMIF(SmtRes!AQ112:'SmtRes'!AQ114,"=1",SmtRes!AD112:'SmtRes'!AD114)*Source!I358, 2)+ROUND(SUMIF(SmtRes!AQ112:'SmtRes'!AQ114,"=1",SmtRes!AC112:'SmtRes'!AC114)*Source!I358, 2))), 2)</f>
        <v>766.64</v>
      </c>
      <c r="AE556">
        <f>ROUND((Source!AU358/100)*((ROUND(SUMIF(SmtRes!AQ112:'SmtRes'!AQ114,"=1",SmtRes!AD112:'SmtRes'!AD114)*Source!I358, 2)+ROUND(SUMIF(SmtRes!AQ112:'SmtRes'!AQ114,"=1",SmtRes!AC112:'SmtRes'!AC114)*Source!I358, 2))), 2)</f>
        <v>372.96</v>
      </c>
      <c r="AN556" s="56">
        <f>M548+M554+M555</f>
        <v>5814.25</v>
      </c>
      <c r="AO556">
        <f>0</f>
        <v>0</v>
      </c>
      <c r="AQ556" t="s">
        <v>495</v>
      </c>
      <c r="AR556" s="56">
        <f>M548</f>
        <v>2768.69</v>
      </c>
      <c r="AT556">
        <f>0</f>
        <v>0</v>
      </c>
      <c r="AV556" t="s">
        <v>495</v>
      </c>
      <c r="AW556">
        <f>0</f>
        <v>0</v>
      </c>
      <c r="AZ556">
        <f>Source!X358</f>
        <v>2048.83</v>
      </c>
      <c r="BA556">
        <f>Source!Y358</f>
        <v>996.73</v>
      </c>
      <c r="BR556" s="56">
        <f>L556</f>
        <v>5814.25</v>
      </c>
      <c r="BU556">
        <f>ROUND(L556*80/100, 2)</f>
        <v>4651.3999999999996</v>
      </c>
      <c r="BV556" s="56">
        <f>L556-BU556</f>
        <v>1162.8500000000004</v>
      </c>
      <c r="CB556">
        <f>Source!BM358</f>
        <v>200001</v>
      </c>
      <c r="CC556" t="str">
        <f>Source!E358</f>
        <v>35</v>
      </c>
      <c r="CD556">
        <v>4</v>
      </c>
    </row>
    <row r="557" spans="1:82" ht="28.5">
      <c r="A557" s="40" t="s">
        <v>235</v>
      </c>
      <c r="B557" s="42">
        <v>36</v>
      </c>
      <c r="C557" s="42" t="s">
        <v>557</v>
      </c>
      <c r="D557" s="42" t="str">
        <f>Source!G359</f>
        <v>Замер полного сопротивления цепи "фаза-нуль"</v>
      </c>
      <c r="E557" s="43" t="str">
        <f>Source!H359</f>
        <v>ШТ</v>
      </c>
      <c r="F557" s="47">
        <f>Source!K359</f>
        <v>4</v>
      </c>
      <c r="G557" s="41"/>
      <c r="H557" s="47">
        <f>Source!I359</f>
        <v>4</v>
      </c>
      <c r="I557" s="48"/>
      <c r="J557" s="46"/>
      <c r="K557" s="48"/>
      <c r="L557" s="42"/>
      <c r="M557" s="48"/>
    </row>
    <row r="558" spans="1:82" ht="15">
      <c r="A558" s="41"/>
      <c r="B558" s="41"/>
      <c r="C558" s="45">
        <v>1</v>
      </c>
      <c r="D558" s="41" t="s">
        <v>483</v>
      </c>
      <c r="E558" s="43" t="s">
        <v>321</v>
      </c>
      <c r="F558" s="47"/>
      <c r="G558" s="45"/>
      <c r="H558" s="47">
        <f>Source!U359</f>
        <v>4</v>
      </c>
      <c r="I558" s="45"/>
      <c r="J558" s="45"/>
      <c r="K558" s="45"/>
      <c r="L558" s="45"/>
      <c r="M558" s="49">
        <f>SUM(M559:M560)-SUMIF(CE559:CE560, 1, M559:M560)</f>
        <v>1610.54</v>
      </c>
    </row>
    <row r="559" spans="1:82" ht="14.25">
      <c r="A559" s="42"/>
      <c r="B559" s="42"/>
      <c r="C559" s="42" t="s">
        <v>434</v>
      </c>
      <c r="D559" s="42" t="s">
        <v>435</v>
      </c>
      <c r="E559" s="43" t="s">
        <v>368</v>
      </c>
      <c r="F559" s="47">
        <v>0.5</v>
      </c>
      <c r="G559" s="41"/>
      <c r="H559" s="47">
        <f>SmtRes!CX115</f>
        <v>2</v>
      </c>
      <c r="I559" s="48"/>
      <c r="J559" s="46"/>
      <c r="K559" s="48">
        <f>SmtRes!CZ115</f>
        <v>407.16</v>
      </c>
      <c r="L559" s="42"/>
      <c r="M559" s="48">
        <f>SmtRes!DI115</f>
        <v>814.32</v>
      </c>
    </row>
    <row r="560" spans="1:82" ht="14.25">
      <c r="A560" s="42"/>
      <c r="B560" s="42"/>
      <c r="C560" s="42" t="s">
        <v>436</v>
      </c>
      <c r="D560" s="50" t="s">
        <v>437</v>
      </c>
      <c r="E560" s="51" t="s">
        <v>368</v>
      </c>
      <c r="F560" s="52">
        <v>0.5</v>
      </c>
      <c r="G560" s="53"/>
      <c r="H560" s="52">
        <f>SmtRes!CX116</f>
        <v>2</v>
      </c>
      <c r="I560" s="54"/>
      <c r="J560" s="55"/>
      <c r="K560" s="54">
        <f>SmtRes!CZ116</f>
        <v>398.11</v>
      </c>
      <c r="L560" s="50"/>
      <c r="M560" s="54">
        <f>SmtRes!DI116</f>
        <v>796.22</v>
      </c>
    </row>
    <row r="561" spans="1:82" ht="15">
      <c r="A561" s="42"/>
      <c r="B561" s="42"/>
      <c r="C561" s="42"/>
      <c r="D561" s="58" t="s">
        <v>489</v>
      </c>
      <c r="E561" s="43"/>
      <c r="F561" s="47"/>
      <c r="G561" s="41"/>
      <c r="H561" s="47"/>
      <c r="I561" s="48"/>
      <c r="J561" s="46"/>
      <c r="K561" s="48"/>
      <c r="L561" s="42"/>
      <c r="M561" s="48">
        <f>M558</f>
        <v>1610.54</v>
      </c>
    </row>
    <row r="562" spans="1:82" ht="14.25">
      <c r="A562" s="42"/>
      <c r="B562" s="42"/>
      <c r="C562" s="42"/>
      <c r="D562" s="42" t="s">
        <v>491</v>
      </c>
      <c r="E562" s="43"/>
      <c r="F562" s="47"/>
      <c r="G562" s="41"/>
      <c r="H562" s="47"/>
      <c r="I562" s="48"/>
      <c r="J562" s="46"/>
      <c r="K562" s="48"/>
      <c r="L562" s="42"/>
      <c r="M562" s="48">
        <f>SUM(AR557:AR565)+SUM(AS557:AS565)+SUM(AT557:AT565)+SUM(AU557:AU565)+SUM(AV557:AV565)</f>
        <v>1610.54</v>
      </c>
    </row>
    <row r="563" spans="1:82" ht="14.25">
      <c r="A563" s="42"/>
      <c r="B563" s="42"/>
      <c r="C563" s="42" t="s">
        <v>233</v>
      </c>
      <c r="D563" s="42" t="s">
        <v>555</v>
      </c>
      <c r="E563" s="43" t="s">
        <v>30</v>
      </c>
      <c r="F563" s="47">
        <f>Source!BZ359</f>
        <v>74</v>
      </c>
      <c r="G563" s="41"/>
      <c r="H563" s="47">
        <f>Source!AT359</f>
        <v>74</v>
      </c>
      <c r="I563" s="48"/>
      <c r="J563" s="46"/>
      <c r="K563" s="48"/>
      <c r="L563" s="42"/>
      <c r="M563" s="48">
        <f>SUM(AZ557:AZ565)</f>
        <v>1191.8</v>
      </c>
    </row>
    <row r="564" spans="1:82" ht="14.25">
      <c r="A564" s="50"/>
      <c r="B564" s="50"/>
      <c r="C564" s="50" t="s">
        <v>234</v>
      </c>
      <c r="D564" s="50" t="s">
        <v>556</v>
      </c>
      <c r="E564" s="51" t="s">
        <v>30</v>
      </c>
      <c r="F564" s="52">
        <f>Source!CA359</f>
        <v>36</v>
      </c>
      <c r="G564" s="53"/>
      <c r="H564" s="52">
        <f>Source!AU359</f>
        <v>36</v>
      </c>
      <c r="I564" s="54"/>
      <c r="J564" s="55"/>
      <c r="K564" s="54"/>
      <c r="L564" s="50"/>
      <c r="M564" s="54">
        <f>SUM(BA557:BA565)</f>
        <v>579.79</v>
      </c>
    </row>
    <row r="565" spans="1:82" ht="15">
      <c r="D565" s="111" t="s">
        <v>494</v>
      </c>
      <c r="E565" s="111"/>
      <c r="F565" s="111"/>
      <c r="G565" s="111"/>
      <c r="H565" s="111"/>
      <c r="I565" s="111"/>
      <c r="J565" s="112">
        <f>L565/F557</f>
        <v>845.53250000000003</v>
      </c>
      <c r="K565" s="112"/>
      <c r="L565" s="112">
        <f>M558+M563+M564</f>
        <v>3382.13</v>
      </c>
      <c r="M565" s="112"/>
      <c r="AD565">
        <f>ROUND((Source!AT359/100)*((ROUND(SUMIF(SmtRes!AQ115:'SmtRes'!AQ116,"=1",SmtRes!AD115:'SmtRes'!AD116)*Source!I359, 2)+ROUND(SUMIF(SmtRes!AQ115:'SmtRes'!AQ116,"=1",SmtRes!AC115:'SmtRes'!AC116)*Source!I359, 2))), 2)</f>
        <v>2383.6</v>
      </c>
      <c r="AE565">
        <f>ROUND((Source!AU359/100)*((ROUND(SUMIF(SmtRes!AQ115:'SmtRes'!AQ116,"=1",SmtRes!AD115:'SmtRes'!AD116)*Source!I359, 2)+ROUND(SUMIF(SmtRes!AQ115:'SmtRes'!AQ116,"=1",SmtRes!AC115:'SmtRes'!AC116)*Source!I359, 2))), 2)</f>
        <v>1159.5899999999999</v>
      </c>
      <c r="AN565" s="56">
        <f>M558+M563+M564</f>
        <v>3382.13</v>
      </c>
      <c r="AO565">
        <f>0</f>
        <v>0</v>
      </c>
      <c r="AQ565" t="s">
        <v>495</v>
      </c>
      <c r="AR565" s="56">
        <f>M558</f>
        <v>1610.54</v>
      </c>
      <c r="AT565">
        <f>0</f>
        <v>0</v>
      </c>
      <c r="AV565" t="s">
        <v>495</v>
      </c>
      <c r="AW565">
        <f>0</f>
        <v>0</v>
      </c>
      <c r="AZ565">
        <f>Source!X359</f>
        <v>1191.8</v>
      </c>
      <c r="BA565">
        <f>Source!Y359</f>
        <v>579.79</v>
      </c>
      <c r="BR565" s="56">
        <f>L565</f>
        <v>3382.13</v>
      </c>
      <c r="BU565">
        <f>ROUND(L565*80/100, 2)</f>
        <v>2705.7</v>
      </c>
      <c r="BV565" s="56">
        <f>L565-BU565</f>
        <v>676.43000000000029</v>
      </c>
      <c r="CB565">
        <f>Source!BM359</f>
        <v>200001</v>
      </c>
      <c r="CC565" t="str">
        <f>Source!E359</f>
        <v>36</v>
      </c>
      <c r="CD565">
        <v>4</v>
      </c>
    </row>
    <row r="566" spans="1:82" ht="42.75">
      <c r="A566" s="40" t="s">
        <v>239</v>
      </c>
      <c r="B566" s="42">
        <v>37</v>
      </c>
      <c r="C566" s="42" t="s">
        <v>558</v>
      </c>
      <c r="D566" s="42" t="str">
        <f>Source!G360</f>
        <v>Фазировка электрической линии или трансформатора с сетью напряжением: до 1 кВ</v>
      </c>
      <c r="E566" s="43" t="str">
        <f>Source!H360</f>
        <v>ШТ</v>
      </c>
      <c r="F566" s="47">
        <f>Source!K360</f>
        <v>4</v>
      </c>
      <c r="G566" s="41"/>
      <c r="H566" s="47">
        <f>Source!I360</f>
        <v>4</v>
      </c>
      <c r="I566" s="48"/>
      <c r="J566" s="46"/>
      <c r="K566" s="48"/>
      <c r="L566" s="42"/>
      <c r="M566" s="48"/>
    </row>
    <row r="567" spans="1:82" ht="15">
      <c r="A567" s="41"/>
      <c r="B567" s="41"/>
      <c r="C567" s="45">
        <v>1</v>
      </c>
      <c r="D567" s="41" t="s">
        <v>483</v>
      </c>
      <c r="E567" s="43" t="s">
        <v>321</v>
      </c>
      <c r="F567" s="47"/>
      <c r="G567" s="45"/>
      <c r="H567" s="47">
        <f>Source!U360</f>
        <v>3.28</v>
      </c>
      <c r="I567" s="45"/>
      <c r="J567" s="45"/>
      <c r="K567" s="45"/>
      <c r="L567" s="45"/>
      <c r="M567" s="49">
        <f>SUM(M568:M569)-SUMIF(CE568:CE569, 1, M568:M569)</f>
        <v>1320.6399999999999</v>
      </c>
    </row>
    <row r="568" spans="1:82" ht="14.25">
      <c r="A568" s="42"/>
      <c r="B568" s="42"/>
      <c r="C568" s="42" t="s">
        <v>434</v>
      </c>
      <c r="D568" s="42" t="s">
        <v>435</v>
      </c>
      <c r="E568" s="43" t="s">
        <v>368</v>
      </c>
      <c r="F568" s="47">
        <v>0.41</v>
      </c>
      <c r="G568" s="41"/>
      <c r="H568" s="47">
        <f>SmtRes!CX117</f>
        <v>1.64</v>
      </c>
      <c r="I568" s="48"/>
      <c r="J568" s="46"/>
      <c r="K568" s="48">
        <f>SmtRes!CZ117</f>
        <v>407.16</v>
      </c>
      <c r="L568" s="42"/>
      <c r="M568" s="48">
        <f>SmtRes!DI117</f>
        <v>667.74</v>
      </c>
    </row>
    <row r="569" spans="1:82" ht="14.25">
      <c r="A569" s="42"/>
      <c r="B569" s="42"/>
      <c r="C569" s="42" t="s">
        <v>436</v>
      </c>
      <c r="D569" s="50" t="s">
        <v>437</v>
      </c>
      <c r="E569" s="51" t="s">
        <v>368</v>
      </c>
      <c r="F569" s="52">
        <v>0.41</v>
      </c>
      <c r="G569" s="53"/>
      <c r="H569" s="52">
        <f>SmtRes!CX118</f>
        <v>1.64</v>
      </c>
      <c r="I569" s="54"/>
      <c r="J569" s="55"/>
      <c r="K569" s="54">
        <f>SmtRes!CZ118</f>
        <v>398.11</v>
      </c>
      <c r="L569" s="50"/>
      <c r="M569" s="54">
        <f>SmtRes!DI118</f>
        <v>652.9</v>
      </c>
    </row>
    <row r="570" spans="1:82" ht="15">
      <c r="A570" s="42"/>
      <c r="B570" s="42"/>
      <c r="C570" s="42"/>
      <c r="D570" s="58" t="s">
        <v>489</v>
      </c>
      <c r="E570" s="43"/>
      <c r="F570" s="47"/>
      <c r="G570" s="41"/>
      <c r="H570" s="47"/>
      <c r="I570" s="48"/>
      <c r="J570" s="46"/>
      <c r="K570" s="48"/>
      <c r="L570" s="42"/>
      <c r="M570" s="48">
        <f>M567</f>
        <v>1320.6399999999999</v>
      </c>
    </row>
    <row r="571" spans="1:82" ht="14.25">
      <c r="A571" s="42"/>
      <c r="B571" s="42"/>
      <c r="C571" s="42"/>
      <c r="D571" s="42" t="s">
        <v>491</v>
      </c>
      <c r="E571" s="43"/>
      <c r="F571" s="47"/>
      <c r="G571" s="41"/>
      <c r="H571" s="47"/>
      <c r="I571" s="48"/>
      <c r="J571" s="46"/>
      <c r="K571" s="48"/>
      <c r="L571" s="42"/>
      <c r="M571" s="48">
        <f>SUM(AR566:AR574)+SUM(AS566:AS574)+SUM(AT566:AT574)+SUM(AU566:AU574)+SUM(AV566:AV574)</f>
        <v>1320.6399999999999</v>
      </c>
    </row>
    <row r="572" spans="1:82" ht="14.25">
      <c r="A572" s="42"/>
      <c r="B572" s="42"/>
      <c r="C572" s="42" t="s">
        <v>233</v>
      </c>
      <c r="D572" s="42" t="s">
        <v>555</v>
      </c>
      <c r="E572" s="43" t="s">
        <v>30</v>
      </c>
      <c r="F572" s="47">
        <f>Source!BZ360</f>
        <v>74</v>
      </c>
      <c r="G572" s="41"/>
      <c r="H572" s="47">
        <f>Source!AT360</f>
        <v>74</v>
      </c>
      <c r="I572" s="48"/>
      <c r="J572" s="46"/>
      <c r="K572" s="48"/>
      <c r="L572" s="42"/>
      <c r="M572" s="48">
        <f>SUM(AZ566:AZ574)</f>
        <v>977.27</v>
      </c>
    </row>
    <row r="573" spans="1:82" ht="14.25">
      <c r="A573" s="50"/>
      <c r="B573" s="50"/>
      <c r="C573" s="50" t="s">
        <v>234</v>
      </c>
      <c r="D573" s="50" t="s">
        <v>556</v>
      </c>
      <c r="E573" s="51" t="s">
        <v>30</v>
      </c>
      <c r="F573" s="52">
        <f>Source!CA360</f>
        <v>36</v>
      </c>
      <c r="G573" s="53"/>
      <c r="H573" s="52">
        <f>Source!AU360</f>
        <v>36</v>
      </c>
      <c r="I573" s="54"/>
      <c r="J573" s="55"/>
      <c r="K573" s="54"/>
      <c r="L573" s="50"/>
      <c r="M573" s="54">
        <f>SUM(BA566:BA574)</f>
        <v>475.43</v>
      </c>
    </row>
    <row r="574" spans="1:82" ht="15">
      <c r="D574" s="111" t="s">
        <v>494</v>
      </c>
      <c r="E574" s="111"/>
      <c r="F574" s="111"/>
      <c r="G574" s="111"/>
      <c r="H574" s="111"/>
      <c r="I574" s="111"/>
      <c r="J574" s="112">
        <f>L574/F566</f>
        <v>693.33499999999992</v>
      </c>
      <c r="K574" s="112"/>
      <c r="L574" s="112">
        <f>M567+M572+M573</f>
        <v>2773.3399999999997</v>
      </c>
      <c r="M574" s="112"/>
      <c r="AD574">
        <f>ROUND((Source!AT360/100)*((ROUND(SUMIF(SmtRes!AQ117:'SmtRes'!AQ118,"=1",SmtRes!AD117:'SmtRes'!AD118)*Source!I360, 2)+ROUND(SUMIF(SmtRes!AQ117:'SmtRes'!AQ118,"=1",SmtRes!AC117:'SmtRes'!AC118)*Source!I360, 2))), 2)</f>
        <v>2383.6</v>
      </c>
      <c r="AE574">
        <f>ROUND((Source!AU360/100)*((ROUND(SUMIF(SmtRes!AQ117:'SmtRes'!AQ118,"=1",SmtRes!AD117:'SmtRes'!AD118)*Source!I360, 2)+ROUND(SUMIF(SmtRes!AQ117:'SmtRes'!AQ118,"=1",SmtRes!AC117:'SmtRes'!AC118)*Source!I360, 2))), 2)</f>
        <v>1159.5899999999999</v>
      </c>
      <c r="AN574" s="56">
        <f>M567+M572+M573</f>
        <v>2773.3399999999997</v>
      </c>
      <c r="AO574">
        <f>0</f>
        <v>0</v>
      </c>
      <c r="AQ574" t="s">
        <v>495</v>
      </c>
      <c r="AR574" s="56">
        <f>M567</f>
        <v>1320.6399999999999</v>
      </c>
      <c r="AT574">
        <f>0</f>
        <v>0</v>
      </c>
      <c r="AV574" t="s">
        <v>495</v>
      </c>
      <c r="AW574">
        <f>0</f>
        <v>0</v>
      </c>
      <c r="AZ574">
        <f>Source!X360</f>
        <v>977.27</v>
      </c>
      <c r="BA574">
        <f>Source!Y360</f>
        <v>475.43</v>
      </c>
      <c r="BR574" s="56">
        <f>L574</f>
        <v>2773.3399999999997</v>
      </c>
      <c r="BU574">
        <f>ROUND(L574*80/100, 2)</f>
        <v>2218.67</v>
      </c>
      <c r="BV574" s="56">
        <f>L574-BU574</f>
        <v>554.66999999999962</v>
      </c>
      <c r="CB574">
        <f>Source!BM360</f>
        <v>200001</v>
      </c>
      <c r="CC574" t="str">
        <f>Source!E360</f>
        <v>37</v>
      </c>
      <c r="CD574">
        <v>4</v>
      </c>
    </row>
    <row r="575" spans="1:82" ht="42.75">
      <c r="A575" s="40" t="s">
        <v>243</v>
      </c>
      <c r="B575" s="42">
        <v>38</v>
      </c>
      <c r="C575" s="42" t="s">
        <v>559</v>
      </c>
      <c r="D575" s="42" t="str">
        <f>Source!G361</f>
        <v>Снятие характеристик коммутационных аппаратов: временных</v>
      </c>
      <c r="E575" s="43" t="str">
        <f>Source!H361</f>
        <v>ШТ</v>
      </c>
      <c r="F575" s="47">
        <f>Source!K361</f>
        <v>4</v>
      </c>
      <c r="G575" s="41"/>
      <c r="H575" s="47">
        <f>Source!I361</f>
        <v>4</v>
      </c>
      <c r="I575" s="48"/>
      <c r="J575" s="46"/>
      <c r="K575" s="48"/>
      <c r="L575" s="42"/>
      <c r="M575" s="48"/>
    </row>
    <row r="576" spans="1:82" ht="15">
      <c r="A576" s="41"/>
      <c r="B576" s="41"/>
      <c r="C576" s="45">
        <v>1</v>
      </c>
      <c r="D576" s="41" t="s">
        <v>483</v>
      </c>
      <c r="E576" s="43" t="s">
        <v>321</v>
      </c>
      <c r="F576" s="47"/>
      <c r="G576" s="45"/>
      <c r="H576" s="47">
        <f>Source!U361</f>
        <v>6.48</v>
      </c>
      <c r="I576" s="45"/>
      <c r="J576" s="45"/>
      <c r="K576" s="45"/>
      <c r="L576" s="45"/>
      <c r="M576" s="49">
        <f>SUM(M577:M578)-SUMIF(CE577:CE578, 1, M577:M578)</f>
        <v>2609.08</v>
      </c>
    </row>
    <row r="577" spans="1:82" ht="14.25">
      <c r="A577" s="42"/>
      <c r="B577" s="42"/>
      <c r="C577" s="42" t="s">
        <v>434</v>
      </c>
      <c r="D577" s="42" t="s">
        <v>435</v>
      </c>
      <c r="E577" s="43" t="s">
        <v>368</v>
      </c>
      <c r="F577" s="47">
        <v>0.81</v>
      </c>
      <c r="G577" s="41"/>
      <c r="H577" s="47">
        <f>SmtRes!CX119</f>
        <v>3.24</v>
      </c>
      <c r="I577" s="48"/>
      <c r="J577" s="46"/>
      <c r="K577" s="48">
        <f>SmtRes!CZ119</f>
        <v>407.16</v>
      </c>
      <c r="L577" s="42"/>
      <c r="M577" s="48">
        <f>SmtRes!DI119</f>
        <v>1319.2</v>
      </c>
    </row>
    <row r="578" spans="1:82" ht="14.25">
      <c r="A578" s="42"/>
      <c r="B578" s="42"/>
      <c r="C578" s="42" t="s">
        <v>436</v>
      </c>
      <c r="D578" s="50" t="s">
        <v>437</v>
      </c>
      <c r="E578" s="51" t="s">
        <v>368</v>
      </c>
      <c r="F578" s="52">
        <v>0.81</v>
      </c>
      <c r="G578" s="53"/>
      <c r="H578" s="52">
        <f>SmtRes!CX120</f>
        <v>3.24</v>
      </c>
      <c r="I578" s="54"/>
      <c r="J578" s="55"/>
      <c r="K578" s="54">
        <f>SmtRes!CZ120</f>
        <v>398.11</v>
      </c>
      <c r="L578" s="50"/>
      <c r="M578" s="54">
        <f>SmtRes!DI120</f>
        <v>1289.8800000000001</v>
      </c>
    </row>
    <row r="579" spans="1:82" ht="15">
      <c r="A579" s="42"/>
      <c r="B579" s="42"/>
      <c r="C579" s="42"/>
      <c r="D579" s="58" t="s">
        <v>489</v>
      </c>
      <c r="E579" s="43"/>
      <c r="F579" s="47"/>
      <c r="G579" s="41"/>
      <c r="H579" s="47"/>
      <c r="I579" s="48"/>
      <c r="J579" s="46"/>
      <c r="K579" s="48"/>
      <c r="L579" s="42"/>
      <c r="M579" s="48">
        <f>M576</f>
        <v>2609.08</v>
      </c>
    </row>
    <row r="580" spans="1:82" ht="14.25">
      <c r="A580" s="42"/>
      <c r="B580" s="42"/>
      <c r="C580" s="42"/>
      <c r="D580" s="42" t="s">
        <v>491</v>
      </c>
      <c r="E580" s="43"/>
      <c r="F580" s="47"/>
      <c r="G580" s="41"/>
      <c r="H580" s="47"/>
      <c r="I580" s="48"/>
      <c r="J580" s="46"/>
      <c r="K580" s="48"/>
      <c r="L580" s="42"/>
      <c r="M580" s="48">
        <f>SUM(AR575:AR583)+SUM(AS575:AS583)+SUM(AT575:AT583)+SUM(AU575:AU583)+SUM(AV575:AV583)</f>
        <v>2609.08</v>
      </c>
    </row>
    <row r="581" spans="1:82" ht="14.25">
      <c r="A581" s="42"/>
      <c r="B581" s="42"/>
      <c r="C581" s="42" t="s">
        <v>233</v>
      </c>
      <c r="D581" s="42" t="s">
        <v>555</v>
      </c>
      <c r="E581" s="43" t="s">
        <v>30</v>
      </c>
      <c r="F581" s="47">
        <f>Source!BZ361</f>
        <v>74</v>
      </c>
      <c r="G581" s="41"/>
      <c r="H581" s="47">
        <f>Source!AT361</f>
        <v>74</v>
      </c>
      <c r="I581" s="48"/>
      <c r="J581" s="46"/>
      <c r="K581" s="48"/>
      <c r="L581" s="42"/>
      <c r="M581" s="48">
        <f>SUM(AZ575:AZ583)</f>
        <v>1930.72</v>
      </c>
    </row>
    <row r="582" spans="1:82" ht="14.25">
      <c r="A582" s="50"/>
      <c r="B582" s="50"/>
      <c r="C582" s="50" t="s">
        <v>234</v>
      </c>
      <c r="D582" s="50" t="s">
        <v>556</v>
      </c>
      <c r="E582" s="51" t="s">
        <v>30</v>
      </c>
      <c r="F582" s="52">
        <f>Source!CA361</f>
        <v>36</v>
      </c>
      <c r="G582" s="53"/>
      <c r="H582" s="52">
        <f>Source!AU361</f>
        <v>36</v>
      </c>
      <c r="I582" s="54"/>
      <c r="J582" s="55"/>
      <c r="K582" s="54"/>
      <c r="L582" s="50"/>
      <c r="M582" s="54">
        <f>SUM(BA575:BA583)</f>
        <v>939.27</v>
      </c>
    </row>
    <row r="583" spans="1:82" ht="15">
      <c r="D583" s="111" t="s">
        <v>494</v>
      </c>
      <c r="E583" s="111"/>
      <c r="F583" s="111"/>
      <c r="G583" s="111"/>
      <c r="H583" s="111"/>
      <c r="I583" s="111"/>
      <c r="J583" s="112">
        <f>L583/F575</f>
        <v>1369.7674999999999</v>
      </c>
      <c r="K583" s="112"/>
      <c r="L583" s="112">
        <f>M576+M581+M582</f>
        <v>5479.07</v>
      </c>
      <c r="M583" s="112"/>
      <c r="AD583">
        <f>ROUND((Source!AT361/100)*((ROUND(SUMIF(SmtRes!AQ119:'SmtRes'!AQ120,"=1",SmtRes!AD119:'SmtRes'!AD120)*Source!I361, 2)+ROUND(SUMIF(SmtRes!AQ119:'SmtRes'!AQ120,"=1",SmtRes!AC119:'SmtRes'!AC120)*Source!I361, 2))), 2)</f>
        <v>2383.6</v>
      </c>
      <c r="AE583">
        <f>ROUND((Source!AU361/100)*((ROUND(SUMIF(SmtRes!AQ119:'SmtRes'!AQ120,"=1",SmtRes!AD119:'SmtRes'!AD120)*Source!I361, 2)+ROUND(SUMIF(SmtRes!AQ119:'SmtRes'!AQ120,"=1",SmtRes!AC119:'SmtRes'!AC120)*Source!I361, 2))), 2)</f>
        <v>1159.5899999999999</v>
      </c>
      <c r="AN583" s="56">
        <f>M576+M581+M582</f>
        <v>5479.07</v>
      </c>
      <c r="AO583">
        <f>0</f>
        <v>0</v>
      </c>
      <c r="AQ583" t="s">
        <v>495</v>
      </c>
      <c r="AR583" s="56">
        <f>M576</f>
        <v>2609.08</v>
      </c>
      <c r="AT583">
        <f>0</f>
        <v>0</v>
      </c>
      <c r="AV583" t="s">
        <v>495</v>
      </c>
      <c r="AW583">
        <f>0</f>
        <v>0</v>
      </c>
      <c r="AZ583">
        <f>Source!X361</f>
        <v>1930.72</v>
      </c>
      <c r="BA583">
        <f>Source!Y361</f>
        <v>939.27</v>
      </c>
      <c r="BR583" s="56">
        <f>L583</f>
        <v>5479.07</v>
      </c>
      <c r="BU583">
        <f>ROUND(L583*80/100, 2)</f>
        <v>4383.26</v>
      </c>
      <c r="BV583" s="56">
        <f>L583-BU583</f>
        <v>1095.8099999999995</v>
      </c>
      <c r="CB583">
        <f>Source!BM361</f>
        <v>200001</v>
      </c>
      <c r="CC583" t="str">
        <f>Source!E361</f>
        <v>38</v>
      </c>
      <c r="CD583">
        <v>4</v>
      </c>
    </row>
    <row r="585" spans="1:82" ht="15">
      <c r="A585" s="62"/>
      <c r="B585" s="62"/>
      <c r="C585" s="63"/>
      <c r="D585" s="129" t="s">
        <v>501</v>
      </c>
      <c r="E585" s="129"/>
      <c r="F585" s="129"/>
      <c r="G585" s="129"/>
      <c r="H585" s="129"/>
      <c r="I585" s="129"/>
      <c r="J585" s="49"/>
      <c r="K585" s="62"/>
      <c r="L585" s="64"/>
      <c r="M585" s="49">
        <f>M587+M588+M594+M598</f>
        <v>8308.9499999999989</v>
      </c>
    </row>
    <row r="586" spans="1:82" ht="14.25">
      <c r="A586" s="59"/>
      <c r="B586" s="59"/>
      <c r="C586" s="61"/>
      <c r="D586" s="128" t="s">
        <v>502</v>
      </c>
      <c r="E586" s="127"/>
      <c r="F586" s="127"/>
      <c r="G586" s="127"/>
      <c r="H586" s="127"/>
      <c r="I586" s="127"/>
      <c r="J586" s="48"/>
      <c r="K586" s="59"/>
      <c r="L586" s="45"/>
      <c r="M586" s="48"/>
    </row>
    <row r="587" spans="1:82" ht="14.25">
      <c r="A587" s="59"/>
      <c r="B587" s="59"/>
      <c r="C587" s="61"/>
      <c r="D587" s="127" t="s">
        <v>503</v>
      </c>
      <c r="E587" s="127"/>
      <c r="F587" s="127"/>
      <c r="G587" s="127"/>
      <c r="H587" s="127"/>
      <c r="I587" s="127"/>
      <c r="J587" s="48"/>
      <c r="K587" s="59"/>
      <c r="L587" s="45"/>
      <c r="M587" s="48">
        <f>SUM(AR546:AR583)</f>
        <v>8308.9499999999989</v>
      </c>
    </row>
    <row r="588" spans="1:82" ht="14.25" hidden="1">
      <c r="A588" s="59"/>
      <c r="B588" s="59"/>
      <c r="C588" s="61"/>
      <c r="D588" s="127" t="s">
        <v>504</v>
      </c>
      <c r="E588" s="127"/>
      <c r="F588" s="127"/>
      <c r="G588" s="127"/>
      <c r="H588" s="127"/>
      <c r="I588" s="127"/>
      <c r="J588" s="48"/>
      <c r="K588" s="59"/>
      <c r="L588" s="45"/>
      <c r="M588" s="48">
        <f>M590+M593+M592</f>
        <v>0</v>
      </c>
    </row>
    <row r="589" spans="1:82" ht="14.25" hidden="1">
      <c r="A589" s="59"/>
      <c r="B589" s="59"/>
      <c r="C589" s="61"/>
      <c r="D589" s="128" t="s">
        <v>505</v>
      </c>
      <c r="E589" s="127"/>
      <c r="F589" s="127"/>
      <c r="G589" s="127"/>
      <c r="H589" s="127"/>
      <c r="I589" s="127"/>
      <c r="J589" s="48"/>
      <c r="K589" s="59"/>
      <c r="L589" s="45"/>
      <c r="M589" s="48"/>
    </row>
    <row r="590" spans="1:82" ht="14.25" hidden="1">
      <c r="A590" s="59"/>
      <c r="B590" s="59"/>
      <c r="C590" s="61"/>
      <c r="D590" s="127" t="s">
        <v>504</v>
      </c>
      <c r="E590" s="127"/>
      <c r="F590" s="127"/>
      <c r="G590" s="127"/>
      <c r="H590" s="127"/>
      <c r="I590" s="127"/>
      <c r="J590" s="48"/>
      <c r="K590" s="59"/>
      <c r="L590" s="45"/>
      <c r="M590" s="48">
        <f>SUM(AO546:AO583)</f>
        <v>0</v>
      </c>
    </row>
    <row r="591" spans="1:82" ht="14.25" hidden="1">
      <c r="A591" s="59"/>
      <c r="B591" s="59"/>
      <c r="C591" s="61"/>
      <c r="D591" s="128" t="s">
        <v>506</v>
      </c>
      <c r="E591" s="127"/>
      <c r="F591" s="127"/>
      <c r="G591" s="127"/>
      <c r="H591" s="127"/>
      <c r="I591" s="127"/>
      <c r="J591" s="48"/>
      <c r="K591" s="59"/>
      <c r="L591" s="45"/>
      <c r="M591" s="48"/>
    </row>
    <row r="592" spans="1:82" ht="14.25" hidden="1">
      <c r="A592" s="59"/>
      <c r="B592" s="59"/>
      <c r="C592" s="61"/>
      <c r="D592" s="127" t="s">
        <v>526</v>
      </c>
      <c r="E592" s="127"/>
      <c r="F592" s="127"/>
      <c r="G592" s="127"/>
      <c r="H592" s="127"/>
      <c r="I592" s="127"/>
      <c r="J592" s="48"/>
      <c r="K592" s="59"/>
      <c r="L592" s="45"/>
      <c r="M592" s="48">
        <f>SUM(AT546:AT583)</f>
        <v>0</v>
      </c>
    </row>
    <row r="593" spans="1:13" ht="14.25" hidden="1">
      <c r="A593" s="59"/>
      <c r="B593" s="59"/>
      <c r="C593" s="61"/>
      <c r="D593" s="127" t="s">
        <v>507</v>
      </c>
      <c r="E593" s="127"/>
      <c r="F593" s="127"/>
      <c r="G593" s="127"/>
      <c r="H593" s="127"/>
      <c r="I593" s="127"/>
      <c r="J593" s="48"/>
      <c r="K593" s="59"/>
      <c r="L593" s="45"/>
      <c r="M593" s="48">
        <f>SUM(AV546:AV583)</f>
        <v>0</v>
      </c>
    </row>
    <row r="594" spans="1:13" ht="14.25" hidden="1">
      <c r="A594" s="59"/>
      <c r="B594" s="59"/>
      <c r="C594" s="61"/>
      <c r="D594" s="127" t="s">
        <v>508</v>
      </c>
      <c r="E594" s="127"/>
      <c r="F594" s="127"/>
      <c r="G594" s="127"/>
      <c r="H594" s="127"/>
      <c r="I594" s="127"/>
      <c r="J594" s="48"/>
      <c r="K594" s="59"/>
      <c r="L594" s="45"/>
      <c r="M594" s="48">
        <f>M596+M597</f>
        <v>0</v>
      </c>
    </row>
    <row r="595" spans="1:13" ht="14.25" hidden="1">
      <c r="A595" s="59"/>
      <c r="B595" s="59"/>
      <c r="C595" s="61"/>
      <c r="D595" s="128" t="s">
        <v>505</v>
      </c>
      <c r="E595" s="127"/>
      <c r="F595" s="127"/>
      <c r="G595" s="127"/>
      <c r="H595" s="127"/>
      <c r="I595" s="127"/>
      <c r="J595" s="48"/>
      <c r="K595" s="59"/>
      <c r="L595" s="45"/>
      <c r="M595" s="48"/>
    </row>
    <row r="596" spans="1:13" ht="14.25" hidden="1">
      <c r="A596" s="59"/>
      <c r="B596" s="59"/>
      <c r="C596" s="61"/>
      <c r="D596" s="127" t="s">
        <v>509</v>
      </c>
      <c r="E596" s="127"/>
      <c r="F596" s="127"/>
      <c r="G596" s="127"/>
      <c r="H596" s="127"/>
      <c r="I596" s="127"/>
      <c r="J596" s="48"/>
      <c r="K596" s="59"/>
      <c r="L596" s="45"/>
      <c r="M596" s="48">
        <f>SUM(AW546:AW583)-SUM(BK546:BK583)</f>
        <v>0</v>
      </c>
    </row>
    <row r="597" spans="1:13" ht="14.25" hidden="1">
      <c r="A597" s="59"/>
      <c r="B597" s="59"/>
      <c r="C597" s="61"/>
      <c r="D597" s="127" t="s">
        <v>510</v>
      </c>
      <c r="E597" s="127"/>
      <c r="F597" s="127"/>
      <c r="G597" s="127"/>
      <c r="H597" s="127"/>
      <c r="I597" s="127"/>
      <c r="J597" s="48"/>
      <c r="K597" s="59"/>
      <c r="L597" s="45"/>
      <c r="M597" s="48">
        <f>SUM(BC546:BC583)</f>
        <v>0</v>
      </c>
    </row>
    <row r="598" spans="1:13" ht="14.25" hidden="1">
      <c r="A598" s="59"/>
      <c r="B598" s="59"/>
      <c r="C598" s="61"/>
      <c r="D598" s="127" t="s">
        <v>511</v>
      </c>
      <c r="E598" s="127"/>
      <c r="F598" s="127"/>
      <c r="G598" s="127"/>
      <c r="H598" s="127"/>
      <c r="I598" s="127"/>
      <c r="J598" s="48"/>
      <c r="K598" s="59"/>
      <c r="L598" s="45"/>
      <c r="M598" s="48">
        <f>SUM(BB546:BB583)</f>
        <v>0</v>
      </c>
    </row>
    <row r="599" spans="1:13" ht="14.25">
      <c r="A599" s="59"/>
      <c r="B599" s="59"/>
      <c r="C599" s="61"/>
      <c r="D599" s="127" t="s">
        <v>512</v>
      </c>
      <c r="E599" s="127"/>
      <c r="F599" s="127"/>
      <c r="G599" s="127"/>
      <c r="H599" s="127"/>
      <c r="I599" s="127"/>
      <c r="J599" s="48"/>
      <c r="K599" s="59"/>
      <c r="L599" s="45"/>
      <c r="M599" s="48">
        <f>SUM(AR546:AR583)+SUM(AT546:AT583)+SUM(AV546:AV583)</f>
        <v>8308.9499999999989</v>
      </c>
    </row>
    <row r="600" spans="1:13" ht="14.25">
      <c r="A600" s="59"/>
      <c r="B600" s="59"/>
      <c r="C600" s="61"/>
      <c r="D600" s="127" t="s">
        <v>513</v>
      </c>
      <c r="E600" s="127"/>
      <c r="F600" s="127"/>
      <c r="G600" s="127"/>
      <c r="H600" s="127"/>
      <c r="I600" s="127"/>
      <c r="J600" s="48"/>
      <c r="K600" s="59"/>
      <c r="L600" s="45"/>
      <c r="M600" s="48">
        <f>SUM(AZ546:AZ583)</f>
        <v>6148.62</v>
      </c>
    </row>
    <row r="601" spans="1:13" ht="14.25">
      <c r="A601" s="59"/>
      <c r="B601" s="59"/>
      <c r="C601" s="61"/>
      <c r="D601" s="127" t="s">
        <v>514</v>
      </c>
      <c r="E601" s="127"/>
      <c r="F601" s="127"/>
      <c r="G601" s="127"/>
      <c r="H601" s="127"/>
      <c r="I601" s="127"/>
      <c r="J601" s="48"/>
      <c r="K601" s="59"/>
      <c r="L601" s="45"/>
      <c r="M601" s="48">
        <f>SUM(BA546:BA583)</f>
        <v>2991.22</v>
      </c>
    </row>
    <row r="602" spans="1:13" ht="14.25" hidden="1">
      <c r="A602" s="59"/>
      <c r="B602" s="59"/>
      <c r="C602" s="61"/>
      <c r="D602" s="127" t="s">
        <v>515</v>
      </c>
      <c r="E602" s="127"/>
      <c r="F602" s="127"/>
      <c r="G602" s="127"/>
      <c r="H602" s="127"/>
      <c r="I602" s="127"/>
      <c r="J602" s="48"/>
      <c r="K602" s="59"/>
      <c r="L602" s="45"/>
      <c r="M602" s="48">
        <f>M604+M605</f>
        <v>0</v>
      </c>
    </row>
    <row r="603" spans="1:13" ht="14.25" hidden="1">
      <c r="A603" s="59"/>
      <c r="B603" s="59"/>
      <c r="C603" s="61"/>
      <c r="D603" s="128" t="s">
        <v>502</v>
      </c>
      <c r="E603" s="127"/>
      <c r="F603" s="127"/>
      <c r="G603" s="127"/>
      <c r="H603" s="127"/>
      <c r="I603" s="127"/>
      <c r="J603" s="48"/>
      <c r="K603" s="59"/>
      <c r="L603" s="45"/>
      <c r="M603" s="48"/>
    </row>
    <row r="604" spans="1:13" ht="14.25" hidden="1">
      <c r="A604" s="59"/>
      <c r="B604" s="59"/>
      <c r="C604" s="61"/>
      <c r="D604" s="127" t="s">
        <v>516</v>
      </c>
      <c r="E604" s="127"/>
      <c r="F604" s="127"/>
      <c r="G604" s="127"/>
      <c r="H604" s="127"/>
      <c r="I604" s="127"/>
      <c r="J604" s="48"/>
      <c r="K604" s="59"/>
      <c r="L604" s="45"/>
      <c r="M604" s="48">
        <f>SUM(BK546:BK583)</f>
        <v>0</v>
      </c>
    </row>
    <row r="605" spans="1:13" ht="14.25" hidden="1">
      <c r="A605" s="59"/>
      <c r="B605" s="59"/>
      <c r="C605" s="61"/>
      <c r="D605" s="127" t="s">
        <v>517</v>
      </c>
      <c r="E605" s="127"/>
      <c r="F605" s="127"/>
      <c r="G605" s="127"/>
      <c r="H605" s="127"/>
      <c r="I605" s="127"/>
      <c r="J605" s="48"/>
      <c r="K605" s="59"/>
      <c r="L605" s="45"/>
      <c r="M605" s="48">
        <f>SUM(BD546:BD583)</f>
        <v>0</v>
      </c>
    </row>
    <row r="606" spans="1:13" ht="14.25" hidden="1">
      <c r="A606" s="59"/>
      <c r="B606" s="59"/>
      <c r="C606" s="61"/>
      <c r="D606" s="127" t="s">
        <v>518</v>
      </c>
      <c r="E606" s="127"/>
      <c r="F606" s="127"/>
      <c r="G606" s="127"/>
      <c r="H606" s="127"/>
      <c r="I606" s="127"/>
      <c r="J606" s="48"/>
      <c r="K606" s="59"/>
      <c r="L606" s="45"/>
      <c r="M606" s="48"/>
    </row>
    <row r="607" spans="1:13" ht="14.25" hidden="1">
      <c r="A607" s="59"/>
      <c r="B607" s="59"/>
      <c r="C607" s="61"/>
      <c r="D607" s="127" t="s">
        <v>519</v>
      </c>
      <c r="E607" s="127"/>
      <c r="F607" s="127"/>
      <c r="G607" s="127"/>
      <c r="H607" s="127"/>
      <c r="I607" s="127"/>
      <c r="J607" s="48"/>
      <c r="K607" s="59"/>
      <c r="L607" s="45"/>
      <c r="M607" s="48">
        <f>SUM(BO546:BO583)</f>
        <v>0</v>
      </c>
    </row>
    <row r="608" spans="1:13" ht="15">
      <c r="A608" s="62"/>
      <c r="B608" s="62"/>
      <c r="C608" s="63"/>
      <c r="D608" s="129" t="s">
        <v>520</v>
      </c>
      <c r="E608" s="129"/>
      <c r="F608" s="129"/>
      <c r="G608" s="129"/>
      <c r="H608" s="129"/>
      <c r="I608" s="129"/>
      <c r="J608" s="49"/>
      <c r="K608" s="62"/>
      <c r="L608" s="64"/>
      <c r="M608" s="49">
        <f>M585+M600+M601+M602+M606+M607</f>
        <v>17448.79</v>
      </c>
    </row>
    <row r="609" spans="1:13" ht="14.25">
      <c r="A609" s="59"/>
      <c r="B609" s="59"/>
      <c r="C609" s="61"/>
      <c r="D609" s="128" t="s">
        <v>521</v>
      </c>
      <c r="E609" s="127"/>
      <c r="F609" s="127"/>
      <c r="G609" s="127"/>
      <c r="H609" s="127"/>
      <c r="I609" s="127"/>
      <c r="J609" s="48"/>
      <c r="K609" s="59"/>
      <c r="L609" s="45"/>
      <c r="M609" s="48"/>
    </row>
    <row r="610" spans="1:13" ht="14.25" hidden="1">
      <c r="A610" s="59"/>
      <c r="B610" s="59"/>
      <c r="C610" s="61"/>
      <c r="D610" s="127" t="s">
        <v>522</v>
      </c>
      <c r="E610" s="127"/>
      <c r="F610" s="127"/>
      <c r="G610" s="127"/>
      <c r="H610" s="127"/>
      <c r="I610" s="127"/>
      <c r="J610" s="48"/>
      <c r="K610" s="59"/>
      <c r="L610" s="45"/>
      <c r="M610" s="48">
        <f>SUM(AX546:AX583)</f>
        <v>0</v>
      </c>
    </row>
    <row r="611" spans="1:13" ht="14.25" hidden="1">
      <c r="A611" s="59"/>
      <c r="B611" s="59"/>
      <c r="C611" s="61"/>
      <c r="D611" s="127" t="s">
        <v>523</v>
      </c>
      <c r="E611" s="127"/>
      <c r="F611" s="127"/>
      <c r="G611" s="127"/>
      <c r="H611" s="127"/>
      <c r="I611" s="127"/>
      <c r="J611" s="48"/>
      <c r="K611" s="59"/>
      <c r="L611" s="45"/>
      <c r="M611" s="48">
        <f>SUM(AY546:AY583)</f>
        <v>0</v>
      </c>
    </row>
    <row r="612" spans="1:13" ht="14.25">
      <c r="A612" s="59"/>
      <c r="B612" s="59"/>
      <c r="C612" s="61"/>
      <c r="D612" s="127" t="s">
        <v>524</v>
      </c>
      <c r="E612" s="127"/>
      <c r="F612" s="127"/>
      <c r="G612" s="130"/>
      <c r="H612" s="47">
        <f>Source!F385</f>
        <v>20.96</v>
      </c>
      <c r="I612" s="59"/>
      <c r="J612" s="59"/>
      <c r="K612" s="59"/>
      <c r="L612" s="59"/>
      <c r="M612" s="59"/>
    </row>
    <row r="613" spans="1:13" ht="14.25" hidden="1" customHeight="1">
      <c r="A613" s="59"/>
      <c r="B613" s="59"/>
      <c r="C613" s="61"/>
      <c r="D613" s="127" t="s">
        <v>525</v>
      </c>
      <c r="E613" s="127"/>
      <c r="F613" s="127"/>
      <c r="G613" s="130"/>
      <c r="H613" s="47">
        <f>Source!F386</f>
        <v>0</v>
      </c>
      <c r="I613" s="59"/>
      <c r="J613" s="59"/>
      <c r="K613" s="59"/>
      <c r="L613" s="59"/>
      <c r="M613" s="59"/>
    </row>
    <row r="615" spans="1:13" ht="14.25">
      <c r="D615" s="131" t="str">
        <f>Source!H402</f>
        <v>НДС 20%</v>
      </c>
      <c r="E615" s="131"/>
      <c r="F615" s="131"/>
      <c r="G615" s="131"/>
      <c r="H615" s="131"/>
      <c r="I615" s="131"/>
      <c r="J615" s="131"/>
      <c r="K615" s="131"/>
      <c r="L615" s="131"/>
      <c r="M615" s="57">
        <f>IF(Source!Y402=0, "", Source!Y402)</f>
        <v>3489.76</v>
      </c>
    </row>
    <row r="616" spans="1:13" ht="14.25">
      <c r="D616" s="131" t="str">
        <f>Source!H403</f>
        <v>ИТОГО с НДС</v>
      </c>
      <c r="E616" s="131"/>
      <c r="F616" s="131"/>
      <c r="G616" s="131"/>
      <c r="H616" s="131"/>
      <c r="I616" s="131"/>
      <c r="J616" s="131"/>
      <c r="K616" s="131"/>
      <c r="L616" s="131"/>
      <c r="M616" s="57">
        <f>IF(Source!Y403=0, "", Source!Y403)</f>
        <v>20938.55</v>
      </c>
    </row>
    <row r="618" spans="1:13" ht="15">
      <c r="A618" s="66"/>
      <c r="B618" s="66"/>
      <c r="C618" s="67"/>
      <c r="D618" s="132" t="s">
        <v>606</v>
      </c>
      <c r="E618" s="132"/>
      <c r="F618" s="132"/>
      <c r="G618" s="132"/>
      <c r="H618" s="132"/>
      <c r="I618" s="132"/>
      <c r="J618" s="68"/>
      <c r="K618" s="66"/>
      <c r="L618" s="69"/>
      <c r="M618" s="68"/>
    </row>
    <row r="620" spans="1:13" ht="15">
      <c r="A620" s="62"/>
      <c r="B620" s="62"/>
      <c r="C620" s="63"/>
      <c r="D620" s="129" t="s">
        <v>561</v>
      </c>
      <c r="E620" s="129"/>
      <c r="F620" s="129"/>
      <c r="G620" s="129"/>
      <c r="H620" s="129"/>
      <c r="I620" s="129"/>
      <c r="J620" s="49"/>
      <c r="K620" s="62"/>
      <c r="L620" s="64"/>
      <c r="M620" s="49">
        <f>M622+M637+M638</f>
        <v>2957608.93</v>
      </c>
    </row>
    <row r="621" spans="1:13" ht="14.25">
      <c r="A621" s="59"/>
      <c r="B621" s="59"/>
      <c r="C621" s="61"/>
      <c r="D621" s="128" t="s">
        <v>502</v>
      </c>
      <c r="E621" s="127"/>
      <c r="F621" s="127"/>
      <c r="G621" s="127"/>
      <c r="H621" s="127"/>
      <c r="I621" s="127"/>
      <c r="J621" s="48"/>
      <c r="K621" s="59"/>
      <c r="L621" s="45"/>
      <c r="M621" s="48"/>
    </row>
    <row r="622" spans="1:13" ht="14.25">
      <c r="A622" s="59"/>
      <c r="B622" s="59"/>
      <c r="C622" s="61"/>
      <c r="D622" s="127" t="s">
        <v>562</v>
      </c>
      <c r="E622" s="127"/>
      <c r="F622" s="127"/>
      <c r="G622" s="127"/>
      <c r="H622" s="127"/>
      <c r="I622" s="127"/>
      <c r="J622" s="48"/>
      <c r="K622" s="59"/>
      <c r="L622" s="45"/>
      <c r="M622" s="48">
        <f>M624+M625+M631+M635</f>
        <v>2957608.93</v>
      </c>
    </row>
    <row r="623" spans="1:13" ht="14.25">
      <c r="A623" s="59"/>
      <c r="B623" s="59"/>
      <c r="C623" s="61"/>
      <c r="D623" s="128" t="s">
        <v>502</v>
      </c>
      <c r="E623" s="127"/>
      <c r="F623" s="127"/>
      <c r="G623" s="127"/>
      <c r="H623" s="127"/>
      <c r="I623" s="127"/>
      <c r="J623" s="48"/>
      <c r="K623" s="59"/>
      <c r="L623" s="45"/>
      <c r="M623" s="48"/>
    </row>
    <row r="624" spans="1:13" ht="14.25" hidden="1">
      <c r="A624" s="59"/>
      <c r="B624" s="59"/>
      <c r="C624" s="61"/>
      <c r="D624" s="127" t="s">
        <v>563</v>
      </c>
      <c r="E624" s="127"/>
      <c r="F624" s="127"/>
      <c r="G624" s="127"/>
      <c r="H624" s="127"/>
      <c r="I624" s="127"/>
      <c r="J624" s="48"/>
      <c r="K624" s="59"/>
      <c r="L624" s="45"/>
      <c r="M624" s="48">
        <f>SUMIF(CD39:CD616, 1, AR39:AR616)</f>
        <v>0</v>
      </c>
    </row>
    <row r="625" spans="1:13" ht="14.25" hidden="1">
      <c r="A625" s="59"/>
      <c r="B625" s="59"/>
      <c r="C625" s="61"/>
      <c r="D625" s="127" t="s">
        <v>504</v>
      </c>
      <c r="E625" s="127"/>
      <c r="F625" s="127"/>
      <c r="G625" s="127"/>
      <c r="H625" s="127"/>
      <c r="I625" s="127"/>
      <c r="J625" s="48"/>
      <c r="K625" s="59"/>
      <c r="L625" s="45"/>
      <c r="M625" s="48">
        <f>M627+M630+M629</f>
        <v>0</v>
      </c>
    </row>
    <row r="626" spans="1:13" ht="14.25" hidden="1">
      <c r="A626" s="59"/>
      <c r="B626" s="59"/>
      <c r="C626" s="61"/>
      <c r="D626" s="128" t="s">
        <v>505</v>
      </c>
      <c r="E626" s="127"/>
      <c r="F626" s="127"/>
      <c r="G626" s="127"/>
      <c r="H626" s="127"/>
      <c r="I626" s="127"/>
      <c r="J626" s="48"/>
      <c r="K626" s="59"/>
      <c r="L626" s="45"/>
      <c r="M626" s="48"/>
    </row>
    <row r="627" spans="1:13" ht="14.25" hidden="1">
      <c r="A627" s="59"/>
      <c r="B627" s="59"/>
      <c r="C627" s="61"/>
      <c r="D627" s="127" t="s">
        <v>504</v>
      </c>
      <c r="E627" s="127"/>
      <c r="F627" s="127"/>
      <c r="G627" s="127"/>
      <c r="H627" s="127"/>
      <c r="I627" s="127"/>
      <c r="J627" s="48"/>
      <c r="K627" s="59"/>
      <c r="L627" s="45"/>
      <c r="M627" s="48">
        <f>SUMIF(CD39:CD616, 1, AO39:AO616)</f>
        <v>0</v>
      </c>
    </row>
    <row r="628" spans="1:13" ht="14.25" hidden="1">
      <c r="A628" s="59"/>
      <c r="B628" s="59"/>
      <c r="C628" s="61"/>
      <c r="D628" s="128" t="s">
        <v>506</v>
      </c>
      <c r="E628" s="127"/>
      <c r="F628" s="127"/>
      <c r="G628" s="127"/>
      <c r="H628" s="127"/>
      <c r="I628" s="127"/>
      <c r="J628" s="48"/>
      <c r="K628" s="59"/>
      <c r="L628" s="45"/>
      <c r="M628" s="48"/>
    </row>
    <row r="629" spans="1:13" ht="14.25" hidden="1">
      <c r="A629" s="59"/>
      <c r="B629" s="59"/>
      <c r="C629" s="61"/>
      <c r="D629" s="127" t="s">
        <v>526</v>
      </c>
      <c r="E629" s="127"/>
      <c r="F629" s="127"/>
      <c r="G629" s="127"/>
      <c r="H629" s="127"/>
      <c r="I629" s="127"/>
      <c r="J629" s="48"/>
      <c r="K629" s="59"/>
      <c r="L629" s="45"/>
      <c r="M629" s="48">
        <f>SUMIF(CD39:CD616, 1, AT39:AT616)</f>
        <v>0</v>
      </c>
    </row>
    <row r="630" spans="1:13" ht="14.25" hidden="1">
      <c r="A630" s="59"/>
      <c r="B630" s="59"/>
      <c r="C630" s="61"/>
      <c r="D630" s="127" t="s">
        <v>507</v>
      </c>
      <c r="E630" s="127"/>
      <c r="F630" s="127"/>
      <c r="G630" s="127"/>
      <c r="H630" s="127"/>
      <c r="I630" s="127"/>
      <c r="J630" s="48"/>
      <c r="K630" s="59"/>
      <c r="L630" s="45"/>
      <c r="M630" s="48">
        <f>SUMIF(CD39:CD616, 1, AV39:AV616)</f>
        <v>0</v>
      </c>
    </row>
    <row r="631" spans="1:13" ht="14.25">
      <c r="A631" s="59"/>
      <c r="B631" s="59"/>
      <c r="C631" s="61"/>
      <c r="D631" s="127" t="s">
        <v>508</v>
      </c>
      <c r="E631" s="127"/>
      <c r="F631" s="127"/>
      <c r="G631" s="127"/>
      <c r="H631" s="127"/>
      <c r="I631" s="127"/>
      <c r="J631" s="48"/>
      <c r="K631" s="59"/>
      <c r="L631" s="45"/>
      <c r="M631" s="48">
        <f>M633+M634</f>
        <v>2957608.93</v>
      </c>
    </row>
    <row r="632" spans="1:13" ht="14.25">
      <c r="A632" s="59"/>
      <c r="B632" s="59"/>
      <c r="C632" s="61"/>
      <c r="D632" s="128" t="s">
        <v>505</v>
      </c>
      <c r="E632" s="127"/>
      <c r="F632" s="127"/>
      <c r="G632" s="127"/>
      <c r="H632" s="127"/>
      <c r="I632" s="127"/>
      <c r="J632" s="48"/>
      <c r="K632" s="59"/>
      <c r="L632" s="45"/>
      <c r="M632" s="48"/>
    </row>
    <row r="633" spans="1:13" ht="14.25">
      <c r="A633" s="59"/>
      <c r="B633" s="59"/>
      <c r="C633" s="61"/>
      <c r="D633" s="127" t="s">
        <v>509</v>
      </c>
      <c r="E633" s="127"/>
      <c r="F633" s="127"/>
      <c r="G633" s="127"/>
      <c r="H633" s="127"/>
      <c r="I633" s="127"/>
      <c r="J633" s="48"/>
      <c r="K633" s="59"/>
      <c r="L633" s="45"/>
      <c r="M633" s="48">
        <f>SUMIF(CD39:CD616, 1, AW39:AW616)-SUMIF(CD39:CD616, 1, BK39:BK616)</f>
        <v>2957608.93</v>
      </c>
    </row>
    <row r="634" spans="1:13" ht="14.25" hidden="1">
      <c r="A634" s="59"/>
      <c r="B634" s="59"/>
      <c r="C634" s="61"/>
      <c r="D634" s="127" t="s">
        <v>510</v>
      </c>
      <c r="E634" s="127"/>
      <c r="F634" s="127"/>
      <c r="G634" s="127"/>
      <c r="H634" s="127"/>
      <c r="I634" s="127"/>
      <c r="J634" s="48"/>
      <c r="K634" s="59"/>
      <c r="L634" s="45"/>
      <c r="M634" s="48">
        <f>SUMIF(CD39:CD616, 1, BC39:BC616)</f>
        <v>0</v>
      </c>
    </row>
    <row r="635" spans="1:13" ht="14.25" hidden="1">
      <c r="A635" s="59"/>
      <c r="B635" s="59"/>
      <c r="C635" s="61"/>
      <c r="D635" s="127" t="s">
        <v>511</v>
      </c>
      <c r="E635" s="127"/>
      <c r="F635" s="127"/>
      <c r="G635" s="127"/>
      <c r="H635" s="127"/>
      <c r="I635" s="127"/>
      <c r="J635" s="48"/>
      <c r="K635" s="59"/>
      <c r="L635" s="45"/>
      <c r="M635" s="48">
        <f>SUMIF(CD39:CD616, 1, BB39:BB616)</f>
        <v>0</v>
      </c>
    </row>
    <row r="636" spans="1:13" ht="14.25" hidden="1">
      <c r="A636" s="59"/>
      <c r="B636" s="59"/>
      <c r="C636" s="61"/>
      <c r="D636" s="127" t="s">
        <v>564</v>
      </c>
      <c r="E636" s="127"/>
      <c r="F636" s="127"/>
      <c r="G636" s="127"/>
      <c r="H636" s="127"/>
      <c r="I636" s="127"/>
      <c r="J636" s="48"/>
      <c r="K636" s="59"/>
      <c r="L636" s="45"/>
      <c r="M636" s="48">
        <f>SUMIF(CD39:CD616, 1, AR39:AR616)+SUMIF(CD39:CD616, 1, AT39:AT616)+SUMIF(CD39:CD616, 1, AV39:AV616)</f>
        <v>0</v>
      </c>
    </row>
    <row r="637" spans="1:13" ht="14.25" hidden="1">
      <c r="A637" s="59"/>
      <c r="B637" s="59"/>
      <c r="C637" s="61"/>
      <c r="D637" s="127" t="s">
        <v>565</v>
      </c>
      <c r="E637" s="127"/>
      <c r="F637" s="127"/>
      <c r="G637" s="127"/>
      <c r="H637" s="127"/>
      <c r="I637" s="127"/>
      <c r="J637" s="48"/>
      <c r="K637" s="59"/>
      <c r="L637" s="45"/>
      <c r="M637" s="48">
        <f>SUMIF(CD39:CD616, 1, AZ39:AZ616)</f>
        <v>0</v>
      </c>
    </row>
    <row r="638" spans="1:13" ht="14.25" hidden="1">
      <c r="A638" s="59"/>
      <c r="B638" s="59"/>
      <c r="C638" s="61"/>
      <c r="D638" s="127" t="s">
        <v>566</v>
      </c>
      <c r="E638" s="127"/>
      <c r="F638" s="127"/>
      <c r="G638" s="127"/>
      <c r="H638" s="127"/>
      <c r="I638" s="127"/>
      <c r="J638" s="48"/>
      <c r="K638" s="59"/>
      <c r="L638" s="45"/>
      <c r="M638" s="48">
        <f>SUMIF(CD39:CD616, 1, BA39:BA616)</f>
        <v>0</v>
      </c>
    </row>
    <row r="640" spans="1:13" ht="15">
      <c r="A640" s="62"/>
      <c r="B640" s="62"/>
      <c r="C640" s="63"/>
      <c r="D640" s="129" t="s">
        <v>567</v>
      </c>
      <c r="E640" s="129"/>
      <c r="F640" s="129"/>
      <c r="G640" s="129"/>
      <c r="H640" s="129"/>
      <c r="I640" s="129"/>
      <c r="J640" s="49"/>
      <c r="K640" s="62"/>
      <c r="L640" s="64"/>
      <c r="M640" s="49">
        <f>M642+M657+M658</f>
        <v>237366.03</v>
      </c>
    </row>
    <row r="641" spans="1:13" ht="14.25">
      <c r="A641" s="59"/>
      <c r="B641" s="59"/>
      <c r="C641" s="61"/>
      <c r="D641" s="128" t="s">
        <v>502</v>
      </c>
      <c r="E641" s="127"/>
      <c r="F641" s="127"/>
      <c r="G641" s="127"/>
      <c r="H641" s="127"/>
      <c r="I641" s="127"/>
      <c r="J641" s="48"/>
      <c r="K641" s="59"/>
      <c r="L641" s="45"/>
      <c r="M641" s="48"/>
    </row>
    <row r="642" spans="1:13" ht="14.25">
      <c r="A642" s="59"/>
      <c r="B642" s="59"/>
      <c r="C642" s="61"/>
      <c r="D642" s="127" t="s">
        <v>562</v>
      </c>
      <c r="E642" s="127"/>
      <c r="F642" s="127"/>
      <c r="G642" s="127"/>
      <c r="H642" s="127"/>
      <c r="I642" s="127"/>
      <c r="J642" s="48"/>
      <c r="K642" s="59"/>
      <c r="L642" s="45"/>
      <c r="M642" s="48">
        <f>M644+M645+M651+M655</f>
        <v>107724.72</v>
      </c>
    </row>
    <row r="643" spans="1:13" ht="14.25">
      <c r="A643" s="59"/>
      <c r="B643" s="59"/>
      <c r="C643" s="61"/>
      <c r="D643" s="128" t="s">
        <v>502</v>
      </c>
      <c r="E643" s="127"/>
      <c r="F643" s="127"/>
      <c r="G643" s="127"/>
      <c r="H643" s="127"/>
      <c r="I643" s="127"/>
      <c r="J643" s="48"/>
      <c r="K643" s="59"/>
      <c r="L643" s="45"/>
      <c r="M643" s="48"/>
    </row>
    <row r="644" spans="1:13" ht="14.25">
      <c r="A644" s="59"/>
      <c r="B644" s="59"/>
      <c r="C644" s="61"/>
      <c r="D644" s="127" t="s">
        <v>563</v>
      </c>
      <c r="E644" s="127"/>
      <c r="F644" s="127"/>
      <c r="G644" s="127"/>
      <c r="H644" s="127"/>
      <c r="I644" s="127"/>
      <c r="J644" s="48"/>
      <c r="K644" s="59"/>
      <c r="L644" s="45"/>
      <c r="M644" s="48">
        <f>SUMIF(CD39:CD638, 2, AR39:AR638)</f>
        <v>86678.03</v>
      </c>
    </row>
    <row r="645" spans="1:13" ht="14.25" hidden="1">
      <c r="A645" s="59"/>
      <c r="B645" s="59"/>
      <c r="C645" s="61"/>
      <c r="D645" s="127" t="s">
        <v>504</v>
      </c>
      <c r="E645" s="127"/>
      <c r="F645" s="127"/>
      <c r="G645" s="127"/>
      <c r="H645" s="127"/>
      <c r="I645" s="127"/>
      <c r="J645" s="48"/>
      <c r="K645" s="59"/>
      <c r="L645" s="45"/>
      <c r="M645" s="48">
        <f>M647+M650+M649</f>
        <v>8058.1999999999989</v>
      </c>
    </row>
    <row r="646" spans="1:13" ht="14.25" hidden="1">
      <c r="A646" s="59"/>
      <c r="B646" s="59"/>
      <c r="C646" s="61"/>
      <c r="D646" s="128" t="s">
        <v>505</v>
      </c>
      <c r="E646" s="127"/>
      <c r="F646" s="127"/>
      <c r="G646" s="127"/>
      <c r="H646" s="127"/>
      <c r="I646" s="127"/>
      <c r="J646" s="48"/>
      <c r="K646" s="59"/>
      <c r="L646" s="45"/>
      <c r="M646" s="48"/>
    </row>
    <row r="647" spans="1:13" ht="14.25">
      <c r="A647" s="59"/>
      <c r="B647" s="59"/>
      <c r="C647" s="61"/>
      <c r="D647" s="127" t="s">
        <v>504</v>
      </c>
      <c r="E647" s="127"/>
      <c r="F647" s="127"/>
      <c r="G647" s="127"/>
      <c r="H647" s="127"/>
      <c r="I647" s="127"/>
      <c r="J647" s="48"/>
      <c r="K647" s="59"/>
      <c r="L647" s="45"/>
      <c r="M647" s="48">
        <f>SUMIF(CD39:CD638, 2, AO39:AO638)</f>
        <v>5934.6599999999989</v>
      </c>
    </row>
    <row r="648" spans="1:13" ht="14.25" hidden="1">
      <c r="A648" s="59"/>
      <c r="B648" s="59"/>
      <c r="C648" s="61"/>
      <c r="D648" s="128" t="s">
        <v>506</v>
      </c>
      <c r="E648" s="127"/>
      <c r="F648" s="127"/>
      <c r="G648" s="127"/>
      <c r="H648" s="127"/>
      <c r="I648" s="127"/>
      <c r="J648" s="48"/>
      <c r="K648" s="59"/>
      <c r="L648" s="45"/>
      <c r="M648" s="48"/>
    </row>
    <row r="649" spans="1:13" ht="14.25">
      <c r="A649" s="59"/>
      <c r="B649" s="59"/>
      <c r="C649" s="61"/>
      <c r="D649" s="127" t="s">
        <v>526</v>
      </c>
      <c r="E649" s="127"/>
      <c r="F649" s="127"/>
      <c r="G649" s="127"/>
      <c r="H649" s="127"/>
      <c r="I649" s="127"/>
      <c r="J649" s="48"/>
      <c r="K649" s="59"/>
      <c r="L649" s="45"/>
      <c r="M649" s="48">
        <f>SUMIF(CD39:CD638, 2, AT39:AT638)</f>
        <v>2123.5400000000004</v>
      </c>
    </row>
    <row r="650" spans="1:13" ht="14.25" hidden="1">
      <c r="A650" s="59"/>
      <c r="B650" s="59"/>
      <c r="C650" s="61"/>
      <c r="D650" s="127" t="s">
        <v>507</v>
      </c>
      <c r="E650" s="127"/>
      <c r="F650" s="127"/>
      <c r="G650" s="127"/>
      <c r="H650" s="127"/>
      <c r="I650" s="127"/>
      <c r="J650" s="48"/>
      <c r="K650" s="59"/>
      <c r="L650" s="45"/>
      <c r="M650" s="48">
        <f>SUMIF(CD39:CD638, 2, AV39:AV638)</f>
        <v>0</v>
      </c>
    </row>
    <row r="651" spans="1:13" ht="14.25">
      <c r="A651" s="59"/>
      <c r="B651" s="59"/>
      <c r="C651" s="61"/>
      <c r="D651" s="127" t="s">
        <v>508</v>
      </c>
      <c r="E651" s="127"/>
      <c r="F651" s="127"/>
      <c r="G651" s="127"/>
      <c r="H651" s="127"/>
      <c r="I651" s="127"/>
      <c r="J651" s="48"/>
      <c r="K651" s="59"/>
      <c r="L651" s="45"/>
      <c r="M651" s="48">
        <f>M653+M654</f>
        <v>12988.490000000002</v>
      </c>
    </row>
    <row r="652" spans="1:13" ht="14.25">
      <c r="A652" s="59"/>
      <c r="B652" s="59"/>
      <c r="C652" s="61"/>
      <c r="D652" s="128" t="s">
        <v>505</v>
      </c>
      <c r="E652" s="127"/>
      <c r="F652" s="127"/>
      <c r="G652" s="127"/>
      <c r="H652" s="127"/>
      <c r="I652" s="127"/>
      <c r="J652" s="48"/>
      <c r="K652" s="59"/>
      <c r="L652" s="45"/>
      <c r="M652" s="48"/>
    </row>
    <row r="653" spans="1:13" ht="14.25">
      <c r="A653" s="59"/>
      <c r="B653" s="59"/>
      <c r="C653" s="61"/>
      <c r="D653" s="127" t="s">
        <v>509</v>
      </c>
      <c r="E653" s="127"/>
      <c r="F653" s="127"/>
      <c r="G653" s="127"/>
      <c r="H653" s="127"/>
      <c r="I653" s="127"/>
      <c r="J653" s="48"/>
      <c r="K653" s="59"/>
      <c r="L653" s="45"/>
      <c r="M653" s="48">
        <f>SUMIF(CD39:CD638, 2, AW39:AW638)-SUMIF(CD39:CD638, 2, BK39:BK638)</f>
        <v>12988.490000000002</v>
      </c>
    </row>
    <row r="654" spans="1:13" ht="14.25" hidden="1">
      <c r="A654" s="59"/>
      <c r="B654" s="59"/>
      <c r="C654" s="61"/>
      <c r="D654" s="127" t="s">
        <v>510</v>
      </c>
      <c r="E654" s="127"/>
      <c r="F654" s="127"/>
      <c r="G654" s="127"/>
      <c r="H654" s="127"/>
      <c r="I654" s="127"/>
      <c r="J654" s="48"/>
      <c r="K654" s="59"/>
      <c r="L654" s="45"/>
      <c r="M654" s="48">
        <f>SUMIF(CD39:CD638, 2, BC39:BC638)</f>
        <v>0</v>
      </c>
    </row>
    <row r="655" spans="1:13" ht="14.25" hidden="1">
      <c r="A655" s="59"/>
      <c r="B655" s="59"/>
      <c r="C655" s="61"/>
      <c r="D655" s="127" t="s">
        <v>511</v>
      </c>
      <c r="E655" s="127"/>
      <c r="F655" s="127"/>
      <c r="G655" s="127"/>
      <c r="H655" s="127"/>
      <c r="I655" s="127"/>
      <c r="J655" s="48"/>
      <c r="K655" s="59"/>
      <c r="L655" s="45"/>
      <c r="M655" s="48">
        <f>SUMIF(CD39:CD638, 2, BB39:BB638)</f>
        <v>0</v>
      </c>
    </row>
    <row r="656" spans="1:13" ht="14.25">
      <c r="A656" s="59"/>
      <c r="B656" s="59"/>
      <c r="C656" s="61"/>
      <c r="D656" s="127" t="s">
        <v>564</v>
      </c>
      <c r="E656" s="127"/>
      <c r="F656" s="127"/>
      <c r="G656" s="127"/>
      <c r="H656" s="127"/>
      <c r="I656" s="127"/>
      <c r="J656" s="48"/>
      <c r="K656" s="59"/>
      <c r="L656" s="45"/>
      <c r="M656" s="48">
        <f>SUMIF(CD39:CD638, 2, AR39:AR638)+SUMIF(CD39:CD638, 2, AT39:AT638)+SUMIF(CD39:CD638, 2, AV39:AV638)</f>
        <v>88801.569999999992</v>
      </c>
    </row>
    <row r="657" spans="1:13" ht="14.25">
      <c r="A657" s="59"/>
      <c r="B657" s="59"/>
      <c r="C657" s="61"/>
      <c r="D657" s="127" t="s">
        <v>565</v>
      </c>
      <c r="E657" s="127"/>
      <c r="F657" s="127"/>
      <c r="G657" s="127"/>
      <c r="H657" s="127"/>
      <c r="I657" s="127"/>
      <c r="J657" s="48"/>
      <c r="K657" s="59"/>
      <c r="L657" s="45"/>
      <c r="M657" s="48">
        <f>SUMIF(CD39:CD638, 2, AZ39:AZ638)</f>
        <v>85096.280000000013</v>
      </c>
    </row>
    <row r="658" spans="1:13" ht="14.25">
      <c r="A658" s="59"/>
      <c r="B658" s="59"/>
      <c r="C658" s="61"/>
      <c r="D658" s="127" t="s">
        <v>566</v>
      </c>
      <c r="E658" s="127"/>
      <c r="F658" s="127"/>
      <c r="G658" s="127"/>
      <c r="H658" s="127"/>
      <c r="I658" s="127"/>
      <c r="J658" s="48"/>
      <c r="K658" s="59"/>
      <c r="L658" s="45"/>
      <c r="M658" s="48">
        <f>SUMIF(CD39:CD638, 2, BA39:BA638)</f>
        <v>44545.03</v>
      </c>
    </row>
    <row r="659" spans="1:13" hidden="1"/>
    <row r="660" spans="1:13" ht="15" hidden="1">
      <c r="A660" s="62"/>
      <c r="B660" s="62"/>
      <c r="C660" s="63"/>
      <c r="D660" s="129" t="s">
        <v>568</v>
      </c>
      <c r="E660" s="129"/>
      <c r="F660" s="129"/>
      <c r="G660" s="129"/>
      <c r="H660" s="129"/>
      <c r="I660" s="129"/>
      <c r="J660" s="49"/>
      <c r="K660" s="62"/>
      <c r="L660" s="64"/>
      <c r="M660" s="49">
        <f>M662+M663</f>
        <v>0</v>
      </c>
    </row>
    <row r="661" spans="1:13" ht="14.25" hidden="1">
      <c r="A661" s="59"/>
      <c r="B661" s="59"/>
      <c r="C661" s="61"/>
      <c r="D661" s="128" t="s">
        <v>502</v>
      </c>
      <c r="E661" s="127"/>
      <c r="F661" s="127"/>
      <c r="G661" s="127"/>
      <c r="H661" s="127"/>
      <c r="I661" s="127"/>
      <c r="J661" s="48"/>
      <c r="K661" s="59"/>
      <c r="L661" s="45"/>
      <c r="M661" s="48"/>
    </row>
    <row r="662" spans="1:13" ht="14.25" hidden="1">
      <c r="A662" s="59"/>
      <c r="B662" s="59"/>
      <c r="C662" s="61"/>
      <c r="D662" s="127" t="s">
        <v>516</v>
      </c>
      <c r="E662" s="127"/>
      <c r="F662" s="127"/>
      <c r="G662" s="127"/>
      <c r="H662" s="127"/>
      <c r="I662" s="127"/>
      <c r="J662" s="48"/>
      <c r="K662" s="59"/>
      <c r="L662" s="45"/>
      <c r="M662" s="48">
        <f>SUMIF(CD39:CD658, 3, BK39:BK658)</f>
        <v>0</v>
      </c>
    </row>
    <row r="663" spans="1:13" ht="14.25" hidden="1">
      <c r="A663" s="59"/>
      <c r="B663" s="59"/>
      <c r="C663" s="61"/>
      <c r="D663" s="127" t="s">
        <v>517</v>
      </c>
      <c r="E663" s="127"/>
      <c r="F663" s="127"/>
      <c r="G663" s="127"/>
      <c r="H663" s="127"/>
      <c r="I663" s="127"/>
      <c r="J663" s="48"/>
      <c r="K663" s="59"/>
      <c r="L663" s="45"/>
      <c r="M663" s="48">
        <f>SUMIF(CD39:CD658, 3, BD39:BD658)</f>
        <v>0</v>
      </c>
    </row>
    <row r="665" spans="1:13" ht="15">
      <c r="A665" s="62"/>
      <c r="B665" s="62"/>
      <c r="C665" s="63"/>
      <c r="D665" s="129" t="s">
        <v>569</v>
      </c>
      <c r="E665" s="129"/>
      <c r="F665" s="129"/>
      <c r="G665" s="129"/>
      <c r="H665" s="129"/>
      <c r="I665" s="129"/>
      <c r="J665" s="49"/>
      <c r="K665" s="62"/>
      <c r="L665" s="64"/>
      <c r="M665" s="49">
        <f>M671+M686+M687+M667+M668</f>
        <v>19182.349999999999</v>
      </c>
    </row>
    <row r="666" spans="1:13" ht="14.25">
      <c r="A666" s="59"/>
      <c r="B666" s="59"/>
      <c r="C666" s="61"/>
      <c r="D666" s="128" t="s">
        <v>502</v>
      </c>
      <c r="E666" s="127"/>
      <c r="F666" s="127"/>
      <c r="G666" s="127"/>
      <c r="H666" s="127"/>
      <c r="I666" s="127"/>
      <c r="J666" s="48"/>
      <c r="K666" s="59"/>
      <c r="L666" s="45"/>
      <c r="M666" s="48"/>
    </row>
    <row r="667" spans="1:13" ht="14.25" hidden="1">
      <c r="A667" s="59"/>
      <c r="B667" s="59"/>
      <c r="C667" s="61"/>
      <c r="D667" s="127" t="s">
        <v>570</v>
      </c>
      <c r="E667" s="127"/>
      <c r="F667" s="127"/>
      <c r="G667" s="127"/>
      <c r="H667" s="127"/>
      <c r="I667" s="127"/>
      <c r="J667" s="48"/>
      <c r="K667" s="59"/>
      <c r="L667" s="45"/>
      <c r="M667" s="48"/>
    </row>
    <row r="668" spans="1:13" ht="14.25" hidden="1">
      <c r="A668" s="59"/>
      <c r="B668" s="59"/>
      <c r="C668" s="61"/>
      <c r="D668" s="127" t="s">
        <v>571</v>
      </c>
      <c r="E668" s="127"/>
      <c r="F668" s="127"/>
      <c r="G668" s="127"/>
      <c r="H668" s="127"/>
      <c r="I668" s="127"/>
      <c r="J668" s="48"/>
      <c r="K668" s="59"/>
      <c r="L668" s="45"/>
      <c r="M668" s="48">
        <f>SUM(BO39:BO663)</f>
        <v>0</v>
      </c>
    </row>
    <row r="669" spans="1:13" ht="14.25">
      <c r="A669" s="59"/>
      <c r="B669" s="59"/>
      <c r="C669" s="61"/>
      <c r="D669" s="127" t="s">
        <v>230</v>
      </c>
      <c r="E669" s="127"/>
      <c r="F669" s="127"/>
      <c r="G669" s="127"/>
      <c r="H669" s="127"/>
      <c r="I669" s="127"/>
      <c r="J669" s="48"/>
      <c r="K669" s="59"/>
      <c r="L669" s="45"/>
      <c r="M669" s="48">
        <f>M671+M686+M687</f>
        <v>19182.349999999999</v>
      </c>
    </row>
    <row r="670" spans="1:13" ht="14.25">
      <c r="A670" s="59"/>
      <c r="B670" s="59"/>
      <c r="C670" s="61"/>
      <c r="D670" s="128" t="s">
        <v>502</v>
      </c>
      <c r="E670" s="127"/>
      <c r="F670" s="127"/>
      <c r="G670" s="127"/>
      <c r="H670" s="127"/>
      <c r="I670" s="127"/>
      <c r="J670" s="48"/>
      <c r="K670" s="59"/>
      <c r="L670" s="45"/>
      <c r="M670" s="48"/>
    </row>
    <row r="671" spans="1:13" ht="14.25">
      <c r="A671" s="59"/>
      <c r="B671" s="59"/>
      <c r="C671" s="61"/>
      <c r="D671" s="127" t="s">
        <v>562</v>
      </c>
      <c r="E671" s="127"/>
      <c r="F671" s="127"/>
      <c r="G671" s="127"/>
      <c r="H671" s="127"/>
      <c r="I671" s="127"/>
      <c r="J671" s="48"/>
      <c r="K671" s="59"/>
      <c r="L671" s="45"/>
      <c r="M671" s="48">
        <f>M673+M674+M680+M684</f>
        <v>10042.509999999998</v>
      </c>
    </row>
    <row r="672" spans="1:13" ht="14.25">
      <c r="A672" s="59"/>
      <c r="B672" s="59"/>
      <c r="C672" s="61"/>
      <c r="D672" s="128" t="s">
        <v>502</v>
      </c>
      <c r="E672" s="127"/>
      <c r="F672" s="127"/>
      <c r="G672" s="127"/>
      <c r="H672" s="127"/>
      <c r="I672" s="127"/>
      <c r="J672" s="48"/>
      <c r="K672" s="59"/>
      <c r="L672" s="45"/>
      <c r="M672" s="48"/>
    </row>
    <row r="673" spans="1:13" ht="14.25">
      <c r="A673" s="59"/>
      <c r="B673" s="59"/>
      <c r="C673" s="61"/>
      <c r="D673" s="127" t="s">
        <v>563</v>
      </c>
      <c r="E673" s="127"/>
      <c r="F673" s="127"/>
      <c r="G673" s="127"/>
      <c r="H673" s="127"/>
      <c r="I673" s="127"/>
      <c r="J673" s="48"/>
      <c r="K673" s="59"/>
      <c r="L673" s="45"/>
      <c r="M673" s="48">
        <f>SUMIF(CD39:CD663, 4, AR39:AR663)</f>
        <v>8308.9499999999989</v>
      </c>
    </row>
    <row r="674" spans="1:13" ht="14.25" hidden="1">
      <c r="A674" s="59"/>
      <c r="B674" s="59"/>
      <c r="C674" s="61"/>
      <c r="D674" s="127" t="s">
        <v>504</v>
      </c>
      <c r="E674" s="127"/>
      <c r="F674" s="127"/>
      <c r="G674" s="127"/>
      <c r="H674" s="127"/>
      <c r="I674" s="127"/>
      <c r="J674" s="48"/>
      <c r="K674" s="59"/>
      <c r="L674" s="45"/>
      <c r="M674" s="48">
        <f>M676+M679+M678</f>
        <v>0</v>
      </c>
    </row>
    <row r="675" spans="1:13" ht="14.25" hidden="1">
      <c r="A675" s="59"/>
      <c r="B675" s="59"/>
      <c r="C675" s="61"/>
      <c r="D675" s="128" t="s">
        <v>505</v>
      </c>
      <c r="E675" s="127"/>
      <c r="F675" s="127"/>
      <c r="G675" s="127"/>
      <c r="H675" s="127"/>
      <c r="I675" s="127"/>
      <c r="J675" s="48"/>
      <c r="K675" s="59"/>
      <c r="L675" s="45"/>
      <c r="M675" s="48"/>
    </row>
    <row r="676" spans="1:13" ht="14.25" hidden="1">
      <c r="A676" s="59"/>
      <c r="B676" s="59"/>
      <c r="C676" s="61"/>
      <c r="D676" s="127" t="s">
        <v>504</v>
      </c>
      <c r="E676" s="127"/>
      <c r="F676" s="127"/>
      <c r="G676" s="127"/>
      <c r="H676" s="127"/>
      <c r="I676" s="127"/>
      <c r="J676" s="48"/>
      <c r="K676" s="59"/>
      <c r="L676" s="45"/>
      <c r="M676" s="48">
        <f>SUMIF(CD39:CD663, 4, AO39:AO663)</f>
        <v>0</v>
      </c>
    </row>
    <row r="677" spans="1:13" ht="14.25" hidden="1">
      <c r="A677" s="59"/>
      <c r="B677" s="59"/>
      <c r="C677" s="61"/>
      <c r="D677" s="128" t="s">
        <v>506</v>
      </c>
      <c r="E677" s="127"/>
      <c r="F677" s="127"/>
      <c r="G677" s="127"/>
      <c r="H677" s="127"/>
      <c r="I677" s="127"/>
      <c r="J677" s="48"/>
      <c r="K677" s="59"/>
      <c r="L677" s="45"/>
      <c r="M677" s="48"/>
    </row>
    <row r="678" spans="1:13" ht="14.25" hidden="1">
      <c r="A678" s="59"/>
      <c r="B678" s="59"/>
      <c r="C678" s="61"/>
      <c r="D678" s="127" t="s">
        <v>526</v>
      </c>
      <c r="E678" s="127"/>
      <c r="F678" s="127"/>
      <c r="G678" s="127"/>
      <c r="H678" s="127"/>
      <c r="I678" s="127"/>
      <c r="J678" s="48"/>
      <c r="K678" s="59"/>
      <c r="L678" s="45"/>
      <c r="M678" s="48">
        <f>SUMIF(CD39:CD663, 4, AT39:AT663)</f>
        <v>0</v>
      </c>
    </row>
    <row r="679" spans="1:13" ht="14.25" hidden="1">
      <c r="A679" s="59"/>
      <c r="B679" s="59"/>
      <c r="C679" s="61"/>
      <c r="D679" s="127" t="s">
        <v>507</v>
      </c>
      <c r="E679" s="127"/>
      <c r="F679" s="127"/>
      <c r="G679" s="127"/>
      <c r="H679" s="127"/>
      <c r="I679" s="127"/>
      <c r="J679" s="48"/>
      <c r="K679" s="59"/>
      <c r="L679" s="45"/>
      <c r="M679" s="48">
        <f>SUMIF(CD39:CD663, 4, AV39:AV663)</f>
        <v>0</v>
      </c>
    </row>
    <row r="680" spans="1:13" ht="14.25">
      <c r="A680" s="59"/>
      <c r="B680" s="59"/>
      <c r="C680" s="61"/>
      <c r="D680" s="127" t="s">
        <v>508</v>
      </c>
      <c r="E680" s="127"/>
      <c r="F680" s="127"/>
      <c r="G680" s="127"/>
      <c r="H680" s="127"/>
      <c r="I680" s="127"/>
      <c r="J680" s="48"/>
      <c r="K680" s="59"/>
      <c r="L680" s="45"/>
      <c r="M680" s="48">
        <f>M682+M683</f>
        <v>1733.5600000000002</v>
      </c>
    </row>
    <row r="681" spans="1:13" ht="14.25">
      <c r="A681" s="59"/>
      <c r="B681" s="59"/>
      <c r="C681" s="61"/>
      <c r="D681" s="128" t="s">
        <v>505</v>
      </c>
      <c r="E681" s="127"/>
      <c r="F681" s="127"/>
      <c r="G681" s="127"/>
      <c r="H681" s="127"/>
      <c r="I681" s="127"/>
      <c r="J681" s="48"/>
      <c r="K681" s="59"/>
      <c r="L681" s="45"/>
      <c r="M681" s="48"/>
    </row>
    <row r="682" spans="1:13" ht="14.25">
      <c r="A682" s="59"/>
      <c r="B682" s="59"/>
      <c r="C682" s="61"/>
      <c r="D682" s="127" t="s">
        <v>509</v>
      </c>
      <c r="E682" s="127"/>
      <c r="F682" s="127"/>
      <c r="G682" s="127"/>
      <c r="H682" s="127"/>
      <c r="I682" s="127"/>
      <c r="J682" s="48"/>
      <c r="K682" s="59"/>
      <c r="L682" s="45"/>
      <c r="M682" s="48">
        <f>SUMIF(CD39:CD663, 4, AW39:AW663)-SUMIF(CD39:CD663, 4, BK39:BK663)</f>
        <v>1733.5600000000002</v>
      </c>
    </row>
    <row r="683" spans="1:13" ht="14.25" hidden="1">
      <c r="A683" s="59"/>
      <c r="B683" s="59"/>
      <c r="C683" s="61"/>
      <c r="D683" s="127" t="s">
        <v>510</v>
      </c>
      <c r="E683" s="127"/>
      <c r="F683" s="127"/>
      <c r="G683" s="127"/>
      <c r="H683" s="127"/>
      <c r="I683" s="127"/>
      <c r="J683" s="48"/>
      <c r="K683" s="59"/>
      <c r="L683" s="45"/>
      <c r="M683" s="48">
        <f>SUMIF(CD39:CD663, 4, BC39:BC663)</f>
        <v>0</v>
      </c>
    </row>
    <row r="684" spans="1:13" ht="14.25" hidden="1">
      <c r="A684" s="59"/>
      <c r="B684" s="59"/>
      <c r="C684" s="61"/>
      <c r="D684" s="127" t="s">
        <v>511</v>
      </c>
      <c r="E684" s="127"/>
      <c r="F684" s="127"/>
      <c r="G684" s="127"/>
      <c r="H684" s="127"/>
      <c r="I684" s="127"/>
      <c r="J684" s="48"/>
      <c r="K684" s="59"/>
      <c r="L684" s="45"/>
      <c r="M684" s="48">
        <f>SUMIF(CD39:CD663, 4, BB39:BB663)</f>
        <v>0</v>
      </c>
    </row>
    <row r="685" spans="1:13" ht="14.25">
      <c r="A685" s="59"/>
      <c r="B685" s="59"/>
      <c r="C685" s="61"/>
      <c r="D685" s="127" t="s">
        <v>564</v>
      </c>
      <c r="E685" s="127"/>
      <c r="F685" s="127"/>
      <c r="G685" s="127"/>
      <c r="H685" s="127"/>
      <c r="I685" s="127"/>
      <c r="J685" s="48"/>
      <c r="K685" s="59"/>
      <c r="L685" s="45"/>
      <c r="M685" s="48">
        <f>SUMIF(CD39:CD663, 4, AR39:AR663)+SUMIF(CD39:CD663, 4, AT39:AT663)+SUMIF(CD39:CD663, 4, AV39:AV663)</f>
        <v>8308.9499999999989</v>
      </c>
    </row>
    <row r="686" spans="1:13" ht="14.25">
      <c r="A686" s="59"/>
      <c r="B686" s="59"/>
      <c r="C686" s="61"/>
      <c r="D686" s="127" t="s">
        <v>565</v>
      </c>
      <c r="E686" s="127"/>
      <c r="F686" s="127"/>
      <c r="G686" s="127"/>
      <c r="H686" s="127"/>
      <c r="I686" s="127"/>
      <c r="J686" s="48"/>
      <c r="K686" s="59"/>
      <c r="L686" s="45"/>
      <c r="M686" s="48">
        <f>SUMIF(CD39:CD663, 4, AZ39:AZ663)</f>
        <v>6148.62</v>
      </c>
    </row>
    <row r="687" spans="1:13" ht="14.25">
      <c r="A687" s="59"/>
      <c r="B687" s="59"/>
      <c r="C687" s="61"/>
      <c r="D687" s="127" t="s">
        <v>566</v>
      </c>
      <c r="E687" s="127"/>
      <c r="F687" s="127"/>
      <c r="G687" s="127"/>
      <c r="H687" s="127"/>
      <c r="I687" s="127"/>
      <c r="J687" s="48"/>
      <c r="K687" s="59"/>
      <c r="L687" s="45"/>
      <c r="M687" s="48">
        <f>SUMIF(CD39:CD663, 4, BA39:BA663)</f>
        <v>2991.22</v>
      </c>
    </row>
    <row r="689" spans="1:13" ht="15">
      <c r="A689" s="62"/>
      <c r="B689" s="62"/>
      <c r="C689" s="63"/>
      <c r="D689" s="129" t="s">
        <v>607</v>
      </c>
      <c r="E689" s="129"/>
      <c r="F689" s="129"/>
      <c r="G689" s="129"/>
      <c r="H689" s="129"/>
      <c r="I689" s="129"/>
      <c r="J689" s="49"/>
      <c r="K689" s="62"/>
      <c r="L689" s="64"/>
      <c r="M689" s="49">
        <f>M620+M640+M660+M665</f>
        <v>3214157.31</v>
      </c>
    </row>
    <row r="690" spans="1:13" ht="14.25">
      <c r="A690" s="59"/>
      <c r="B690" s="59"/>
      <c r="C690" s="61"/>
      <c r="D690" s="128" t="s">
        <v>502</v>
      </c>
      <c r="E690" s="127"/>
      <c r="F690" s="127"/>
      <c r="G690" s="127"/>
      <c r="H690" s="127"/>
      <c r="I690" s="127"/>
      <c r="J690" s="48"/>
      <c r="K690" s="59"/>
      <c r="L690" s="45"/>
      <c r="M690" s="48"/>
    </row>
    <row r="691" spans="1:13" ht="14.25">
      <c r="A691" s="59"/>
      <c r="B691" s="59"/>
      <c r="C691" s="61"/>
      <c r="D691" s="127" t="s">
        <v>562</v>
      </c>
      <c r="E691" s="127"/>
      <c r="F691" s="127"/>
      <c r="G691" s="127"/>
      <c r="H691" s="127"/>
      <c r="I691" s="127"/>
      <c r="J691" s="48"/>
      <c r="K691" s="59"/>
      <c r="L691" s="45"/>
      <c r="M691" s="48">
        <f>M693+M694+M700+M704</f>
        <v>3075376.16</v>
      </c>
    </row>
    <row r="692" spans="1:13" ht="14.25">
      <c r="A692" s="59"/>
      <c r="B692" s="59"/>
      <c r="C692" s="61"/>
      <c r="D692" s="128" t="s">
        <v>502</v>
      </c>
      <c r="E692" s="127"/>
      <c r="F692" s="127"/>
      <c r="G692" s="127"/>
      <c r="H692" s="127"/>
      <c r="I692" s="127"/>
      <c r="J692" s="48"/>
      <c r="K692" s="59"/>
      <c r="L692" s="45"/>
      <c r="M692" s="48"/>
    </row>
    <row r="693" spans="1:13" ht="14.25">
      <c r="A693" s="59"/>
      <c r="B693" s="59"/>
      <c r="C693" s="61"/>
      <c r="D693" s="127" t="s">
        <v>563</v>
      </c>
      <c r="E693" s="127"/>
      <c r="F693" s="127"/>
      <c r="G693" s="127"/>
      <c r="H693" s="127"/>
      <c r="I693" s="127"/>
      <c r="J693" s="48"/>
      <c r="K693" s="59"/>
      <c r="L693" s="45"/>
      <c r="M693" s="48">
        <f>SUM(AR39:AR687)</f>
        <v>94986.98</v>
      </c>
    </row>
    <row r="694" spans="1:13" ht="14.25" hidden="1">
      <c r="A694" s="59"/>
      <c r="B694" s="59"/>
      <c r="C694" s="61"/>
      <c r="D694" s="127" t="s">
        <v>504</v>
      </c>
      <c r="E694" s="127"/>
      <c r="F694" s="127"/>
      <c r="G694" s="127"/>
      <c r="H694" s="127"/>
      <c r="I694" s="127"/>
      <c r="J694" s="48"/>
      <c r="K694" s="59"/>
      <c r="L694" s="45"/>
      <c r="M694" s="48">
        <f>M696+M699+M698</f>
        <v>8058.1999999999989</v>
      </c>
    </row>
    <row r="695" spans="1:13" ht="14.25" hidden="1">
      <c r="A695" s="59"/>
      <c r="B695" s="59"/>
      <c r="C695" s="61"/>
      <c r="D695" s="128" t="s">
        <v>505</v>
      </c>
      <c r="E695" s="127"/>
      <c r="F695" s="127"/>
      <c r="G695" s="127"/>
      <c r="H695" s="127"/>
      <c r="I695" s="127"/>
      <c r="J695" s="48"/>
      <c r="K695" s="59"/>
      <c r="L695" s="45"/>
      <c r="M695" s="48"/>
    </row>
    <row r="696" spans="1:13" ht="14.25">
      <c r="A696" s="59"/>
      <c r="B696" s="59"/>
      <c r="C696" s="61"/>
      <c r="D696" s="127" t="s">
        <v>504</v>
      </c>
      <c r="E696" s="127"/>
      <c r="F696" s="127"/>
      <c r="G696" s="127"/>
      <c r="H696" s="127"/>
      <c r="I696" s="127"/>
      <c r="J696" s="48"/>
      <c r="K696" s="59"/>
      <c r="L696" s="45"/>
      <c r="M696" s="48">
        <f>SUM(AO39:AO687)</f>
        <v>5934.6599999999989</v>
      </c>
    </row>
    <row r="697" spans="1:13" ht="14.25" hidden="1">
      <c r="A697" s="59"/>
      <c r="B697" s="59"/>
      <c r="C697" s="61"/>
      <c r="D697" s="128" t="s">
        <v>506</v>
      </c>
      <c r="E697" s="127"/>
      <c r="F697" s="127"/>
      <c r="G697" s="127"/>
      <c r="H697" s="127"/>
      <c r="I697" s="127"/>
      <c r="J697" s="48"/>
      <c r="K697" s="59"/>
      <c r="L697" s="45"/>
      <c r="M697" s="48"/>
    </row>
    <row r="698" spans="1:13" ht="14.25">
      <c r="A698" s="59"/>
      <c r="B698" s="59"/>
      <c r="C698" s="61"/>
      <c r="D698" s="127" t="s">
        <v>526</v>
      </c>
      <c r="E698" s="127"/>
      <c r="F698" s="127"/>
      <c r="G698" s="127"/>
      <c r="H698" s="127"/>
      <c r="I698" s="127"/>
      <c r="J698" s="48"/>
      <c r="K698" s="59"/>
      <c r="L698" s="45"/>
      <c r="M698" s="48">
        <f>SUM(AT39:AT687)</f>
        <v>2123.5400000000004</v>
      </c>
    </row>
    <row r="699" spans="1:13" ht="14.25" hidden="1">
      <c r="A699" s="59"/>
      <c r="B699" s="59"/>
      <c r="C699" s="61"/>
      <c r="D699" s="127" t="s">
        <v>507</v>
      </c>
      <c r="E699" s="127"/>
      <c r="F699" s="127"/>
      <c r="G699" s="127"/>
      <c r="H699" s="127"/>
      <c r="I699" s="127"/>
      <c r="J699" s="48"/>
      <c r="K699" s="59"/>
      <c r="L699" s="45"/>
      <c r="M699" s="48">
        <f>SUM(AV39:AV687)</f>
        <v>0</v>
      </c>
    </row>
    <row r="700" spans="1:13" ht="14.25">
      <c r="A700" s="59"/>
      <c r="B700" s="59"/>
      <c r="C700" s="61"/>
      <c r="D700" s="127" t="s">
        <v>508</v>
      </c>
      <c r="E700" s="127"/>
      <c r="F700" s="127"/>
      <c r="G700" s="127"/>
      <c r="H700" s="127"/>
      <c r="I700" s="127"/>
      <c r="J700" s="48"/>
      <c r="K700" s="59"/>
      <c r="L700" s="45"/>
      <c r="M700" s="48">
        <f>M702+M703</f>
        <v>2972330.98</v>
      </c>
    </row>
    <row r="701" spans="1:13" ht="14.25">
      <c r="A701" s="59"/>
      <c r="B701" s="59"/>
      <c r="C701" s="61"/>
      <c r="D701" s="128" t="s">
        <v>505</v>
      </c>
      <c r="E701" s="127"/>
      <c r="F701" s="127"/>
      <c r="G701" s="127"/>
      <c r="H701" s="127"/>
      <c r="I701" s="127"/>
      <c r="J701" s="48"/>
      <c r="K701" s="59"/>
      <c r="L701" s="45"/>
      <c r="M701" s="48"/>
    </row>
    <row r="702" spans="1:13" ht="14.25">
      <c r="A702" s="59"/>
      <c r="B702" s="59"/>
      <c r="C702" s="61"/>
      <c r="D702" s="127" t="s">
        <v>509</v>
      </c>
      <c r="E702" s="127"/>
      <c r="F702" s="127"/>
      <c r="G702" s="127"/>
      <c r="H702" s="127"/>
      <c r="I702" s="127"/>
      <c r="J702" s="48"/>
      <c r="K702" s="59"/>
      <c r="L702" s="45"/>
      <c r="M702" s="48">
        <f>SUM(AW39:AW687)-SUM(BK39:BK687)</f>
        <v>2972330.98</v>
      </c>
    </row>
    <row r="703" spans="1:13" ht="14.25" hidden="1">
      <c r="A703" s="59"/>
      <c r="B703" s="59"/>
      <c r="C703" s="61"/>
      <c r="D703" s="127" t="s">
        <v>510</v>
      </c>
      <c r="E703" s="127"/>
      <c r="F703" s="127"/>
      <c r="G703" s="127"/>
      <c r="H703" s="127"/>
      <c r="I703" s="127"/>
      <c r="J703" s="48"/>
      <c r="K703" s="59"/>
      <c r="L703" s="45"/>
      <c r="M703" s="48">
        <f>SUM(BC39:BC687)</f>
        <v>0</v>
      </c>
    </row>
    <row r="704" spans="1:13" ht="14.25" hidden="1">
      <c r="A704" s="59"/>
      <c r="B704" s="59"/>
      <c r="C704" s="61"/>
      <c r="D704" s="127" t="s">
        <v>511</v>
      </c>
      <c r="E704" s="127"/>
      <c r="F704" s="127"/>
      <c r="G704" s="127"/>
      <c r="H704" s="127"/>
      <c r="I704" s="127"/>
      <c r="J704" s="48"/>
      <c r="K704" s="59"/>
      <c r="L704" s="45"/>
      <c r="M704" s="48">
        <f>SUM(BB39:BB687)</f>
        <v>0</v>
      </c>
    </row>
    <row r="705" spans="1:13" ht="14.25">
      <c r="A705" s="59"/>
      <c r="B705" s="59"/>
      <c r="C705" s="61"/>
      <c r="D705" s="127" t="s">
        <v>512</v>
      </c>
      <c r="E705" s="127"/>
      <c r="F705" s="127"/>
      <c r="G705" s="127"/>
      <c r="H705" s="127"/>
      <c r="I705" s="127"/>
      <c r="J705" s="48"/>
      <c r="K705" s="59"/>
      <c r="L705" s="45"/>
      <c r="M705" s="48">
        <f>SUM(AR39:AR687)+SUM(AT39:AT687)+SUM(AV39:AV687)</f>
        <v>97110.51999999999</v>
      </c>
    </row>
    <row r="706" spans="1:13" ht="14.25">
      <c r="A706" s="59"/>
      <c r="B706" s="59"/>
      <c r="C706" s="61"/>
      <c r="D706" s="127" t="s">
        <v>513</v>
      </c>
      <c r="E706" s="127"/>
      <c r="F706" s="127"/>
      <c r="G706" s="127"/>
      <c r="H706" s="127"/>
      <c r="I706" s="127"/>
      <c r="J706" s="48"/>
      <c r="K706" s="59"/>
      <c r="L706" s="45"/>
      <c r="M706" s="48">
        <f>SUM(AZ39:AZ687)</f>
        <v>91244.900000000023</v>
      </c>
    </row>
    <row r="707" spans="1:13" ht="14.25">
      <c r="A707" s="59"/>
      <c r="B707" s="59"/>
      <c r="C707" s="61"/>
      <c r="D707" s="127" t="s">
        <v>514</v>
      </c>
      <c r="E707" s="127"/>
      <c r="F707" s="127"/>
      <c r="G707" s="127"/>
      <c r="H707" s="127"/>
      <c r="I707" s="127"/>
      <c r="J707" s="48"/>
      <c r="K707" s="59"/>
      <c r="L707" s="45"/>
      <c r="M707" s="48">
        <f>SUM(BA39:BA687)</f>
        <v>47536.25</v>
      </c>
    </row>
    <row r="708" spans="1:13" ht="14.25" hidden="1">
      <c r="A708" s="59"/>
      <c r="B708" s="59"/>
      <c r="C708" s="61"/>
      <c r="D708" s="127" t="s">
        <v>573</v>
      </c>
      <c r="E708" s="127"/>
      <c r="F708" s="127"/>
      <c r="G708" s="127"/>
      <c r="H708" s="127"/>
      <c r="I708" s="127"/>
      <c r="J708" s="48"/>
      <c r="K708" s="59"/>
      <c r="L708" s="45"/>
      <c r="M708" s="48">
        <f>M710+M711</f>
        <v>0</v>
      </c>
    </row>
    <row r="709" spans="1:13" ht="14.25" hidden="1">
      <c r="A709" s="59"/>
      <c r="B709" s="59"/>
      <c r="C709" s="61"/>
      <c r="D709" s="128" t="s">
        <v>502</v>
      </c>
      <c r="E709" s="127"/>
      <c r="F709" s="127"/>
      <c r="G709" s="127"/>
      <c r="H709" s="127"/>
      <c r="I709" s="127"/>
      <c r="J709" s="48"/>
      <c r="K709" s="59"/>
      <c r="L709" s="45"/>
      <c r="M709" s="48"/>
    </row>
    <row r="710" spans="1:13" ht="14.25" hidden="1">
      <c r="A710" s="59"/>
      <c r="B710" s="59"/>
      <c r="C710" s="61"/>
      <c r="D710" s="127" t="s">
        <v>516</v>
      </c>
      <c r="E710" s="127"/>
      <c r="F710" s="127"/>
      <c r="G710" s="127"/>
      <c r="H710" s="127"/>
      <c r="I710" s="127"/>
      <c r="J710" s="48"/>
      <c r="K710" s="59"/>
      <c r="L710" s="45"/>
      <c r="M710" s="48">
        <f>SUM(BK39:BK687)</f>
        <v>0</v>
      </c>
    </row>
    <row r="711" spans="1:13" ht="14.25" hidden="1">
      <c r="A711" s="59"/>
      <c r="B711" s="59"/>
      <c r="C711" s="61"/>
      <c r="D711" s="127" t="s">
        <v>517</v>
      </c>
      <c r="E711" s="127"/>
      <c r="F711" s="127"/>
      <c r="G711" s="127"/>
      <c r="H711" s="127"/>
      <c r="I711" s="127"/>
      <c r="J711" s="48"/>
      <c r="K711" s="59"/>
      <c r="L711" s="45"/>
      <c r="M711" s="48">
        <f>SUM(BD39:BD687)</f>
        <v>0</v>
      </c>
    </row>
    <row r="712" spans="1:13" ht="14.25">
      <c r="A712" s="59"/>
      <c r="B712" s="59"/>
      <c r="C712" s="61"/>
      <c r="D712" s="127" t="s">
        <v>574</v>
      </c>
      <c r="E712" s="127"/>
      <c r="F712" s="127"/>
      <c r="G712" s="127"/>
      <c r="H712" s="127"/>
      <c r="I712" s="127"/>
      <c r="J712" s="48"/>
      <c r="K712" s="59"/>
      <c r="L712" s="45"/>
      <c r="M712" s="48">
        <f>M665</f>
        <v>19182.349999999999</v>
      </c>
    </row>
    <row r="713" spans="1:13" ht="14.25">
      <c r="A713" s="59"/>
      <c r="B713" s="59"/>
      <c r="C713" s="61"/>
      <c r="D713" s="129" t="s">
        <v>521</v>
      </c>
      <c r="E713" s="127"/>
      <c r="F713" s="127"/>
      <c r="G713" s="127"/>
      <c r="H713" s="127"/>
      <c r="I713" s="127"/>
      <c r="J713" s="48"/>
      <c r="K713" s="59"/>
      <c r="L713" s="45"/>
      <c r="M713" s="48"/>
    </row>
    <row r="714" spans="1:13" ht="14.25" hidden="1">
      <c r="A714" s="59"/>
      <c r="B714" s="59"/>
      <c r="C714" s="61"/>
      <c r="D714" s="127" t="s">
        <v>522</v>
      </c>
      <c r="E714" s="127"/>
      <c r="F714" s="127"/>
      <c r="G714" s="127"/>
      <c r="H714" s="127"/>
      <c r="I714" s="127"/>
      <c r="J714" s="48"/>
      <c r="K714" s="59"/>
      <c r="L714" s="45"/>
      <c r="M714" s="48">
        <f>SUM(AX39:AX687)</f>
        <v>0</v>
      </c>
    </row>
    <row r="715" spans="1:13" ht="14.25" hidden="1">
      <c r="A715" s="59"/>
      <c r="B715" s="59"/>
      <c r="C715" s="61"/>
      <c r="D715" s="127" t="s">
        <v>523</v>
      </c>
      <c r="E715" s="127"/>
      <c r="F715" s="127"/>
      <c r="G715" s="127"/>
      <c r="H715" s="127"/>
      <c r="I715" s="127"/>
      <c r="J715" s="48"/>
      <c r="K715" s="59"/>
      <c r="L715" s="45"/>
      <c r="M715" s="48">
        <f>SUM(AY39:AY687)</f>
        <v>0</v>
      </c>
    </row>
    <row r="716" spans="1:13" ht="14.25">
      <c r="A716" s="59"/>
      <c r="B716" s="59"/>
      <c r="C716" s="61"/>
      <c r="D716" s="127" t="s">
        <v>524</v>
      </c>
      <c r="E716" s="127"/>
      <c r="F716" s="127"/>
      <c r="G716" s="130"/>
      <c r="H716" s="47">
        <f>Source!F427</f>
        <v>291.12199999999996</v>
      </c>
      <c r="I716" s="59"/>
      <c r="J716" s="59"/>
      <c r="K716" s="59"/>
      <c r="L716" s="59"/>
      <c r="M716" s="59"/>
    </row>
    <row r="717" spans="1:13" ht="14.25">
      <c r="A717" s="59"/>
      <c r="B717" s="59"/>
      <c r="C717" s="61"/>
      <c r="D717" s="127" t="s">
        <v>525</v>
      </c>
      <c r="E717" s="127"/>
      <c r="F717" s="127"/>
      <c r="G717" s="130"/>
      <c r="H717" s="47">
        <f>Source!F428</f>
        <v>13.37956</v>
      </c>
      <c r="I717" s="59"/>
      <c r="J717" s="59"/>
      <c r="K717" s="59"/>
      <c r="L717" s="59"/>
      <c r="M717" s="59"/>
    </row>
    <row r="719" spans="1:13" ht="14.25">
      <c r="D719" s="131" t="str">
        <f>Source!H444</f>
        <v>НДС 20%</v>
      </c>
      <c r="E719" s="131"/>
      <c r="F719" s="131"/>
      <c r="G719" s="131"/>
      <c r="H719" s="131"/>
      <c r="I719" s="131"/>
      <c r="J719" s="131"/>
      <c r="K719" s="131"/>
      <c r="L719" s="131"/>
      <c r="M719" s="57">
        <f>IF(Source!Y444=0, "", Source!Y444)</f>
        <v>642831.46</v>
      </c>
    </row>
    <row r="720" spans="1:13" ht="14.25">
      <c r="D720" s="131" t="str">
        <f>Source!H445</f>
        <v>ИТОГО с НДС</v>
      </c>
      <c r="E720" s="131"/>
      <c r="F720" s="131"/>
      <c r="G720" s="131"/>
      <c r="H720" s="131"/>
      <c r="I720" s="131"/>
      <c r="J720" s="131"/>
      <c r="K720" s="131"/>
      <c r="L720" s="131"/>
      <c r="M720" s="57">
        <f>IF(Source!Y445=0, "", Source!Y445)</f>
        <v>3856988.77</v>
      </c>
    </row>
    <row r="723" spans="1:13" ht="14.25" customHeight="1">
      <c r="A723" s="89"/>
      <c r="B723" s="168" t="s">
        <v>608</v>
      </c>
      <c r="C723" s="168"/>
      <c r="D723" s="91" t="str">
        <f>IF(Source!AM12&lt;&gt;"", Source!AM12," ")</f>
        <v xml:space="preserve"> </v>
      </c>
      <c r="E723" s="92"/>
      <c r="F723" s="92"/>
      <c r="G723" s="92"/>
      <c r="H723" s="92"/>
      <c r="I723" s="90" t="str">
        <f>IF(Source!AL12&lt;&gt;"", Source!AL12," ")</f>
        <v xml:space="preserve"> </v>
      </c>
      <c r="J723" s="10"/>
      <c r="K723" s="10"/>
      <c r="L723" s="10"/>
      <c r="M723" s="10"/>
    </row>
    <row r="724" spans="1:13" ht="14.25" customHeight="1">
      <c r="A724" s="26"/>
      <c r="B724" s="19"/>
      <c r="C724" s="19"/>
      <c r="D724" s="137" t="s">
        <v>576</v>
      </c>
      <c r="E724" s="137"/>
      <c r="F724" s="137"/>
      <c r="G724" s="137"/>
      <c r="H724" s="137"/>
      <c r="I724" s="19"/>
      <c r="J724" s="10"/>
      <c r="K724" s="10"/>
      <c r="L724" s="10"/>
      <c r="M724" s="10"/>
    </row>
    <row r="725" spans="1:13" ht="12.75" customHeight="1">
      <c r="A725" s="26"/>
      <c r="B725" s="26"/>
      <c r="C725" s="26"/>
      <c r="D725" s="26"/>
      <c r="E725" s="26"/>
      <c r="F725" s="26"/>
      <c r="G725" s="26"/>
      <c r="H725" s="26"/>
      <c r="I725" s="26"/>
      <c r="J725" s="10"/>
      <c r="K725" s="10"/>
      <c r="L725" s="10"/>
      <c r="M725" s="10"/>
    </row>
    <row r="726" spans="1:13" ht="14.25" customHeight="1">
      <c r="A726" s="26"/>
      <c r="B726" s="168" t="s">
        <v>609</v>
      </c>
      <c r="C726" s="168"/>
      <c r="D726" s="91" t="str">
        <f>IF(Source!AI12&lt;&gt;"", Source!AI12," ")</f>
        <v xml:space="preserve"> </v>
      </c>
      <c r="E726" s="92"/>
      <c r="F726" s="92"/>
      <c r="G726" s="92"/>
      <c r="H726" s="92"/>
      <c r="I726" s="93" t="str">
        <f>IF(Source!AH12&lt;&gt;"", Source!AH12," ")</f>
        <v xml:space="preserve"> </v>
      </c>
      <c r="J726" s="10"/>
      <c r="K726" s="10"/>
      <c r="L726" s="10"/>
      <c r="M726" s="10"/>
    </row>
    <row r="727" spans="1:13" ht="14.25" customHeight="1">
      <c r="A727" s="26"/>
      <c r="B727" s="19"/>
      <c r="C727" s="19"/>
      <c r="D727" s="137" t="s">
        <v>576</v>
      </c>
      <c r="E727" s="137"/>
      <c r="F727" s="137"/>
      <c r="G727" s="137"/>
      <c r="H727" s="137"/>
      <c r="I727" s="19"/>
      <c r="J727" s="10"/>
      <c r="K727" s="10"/>
      <c r="L727" s="10"/>
      <c r="M727" s="10"/>
    </row>
  </sheetData>
  <mergeCells count="485">
    <mergeCell ref="D724:H724"/>
    <mergeCell ref="B726:C726"/>
    <mergeCell ref="D727:H727"/>
    <mergeCell ref="D715:I715"/>
    <mergeCell ref="D716:G716"/>
    <mergeCell ref="D717:G717"/>
    <mergeCell ref="D719:L719"/>
    <mergeCell ref="D720:L720"/>
    <mergeCell ref="B723:C723"/>
    <mergeCell ref="D709:I709"/>
    <mergeCell ref="D710:I710"/>
    <mergeCell ref="D711:I711"/>
    <mergeCell ref="D712:I712"/>
    <mergeCell ref="D713:I713"/>
    <mergeCell ref="D714:I714"/>
    <mergeCell ref="D703:I703"/>
    <mergeCell ref="D704:I704"/>
    <mergeCell ref="D705:I705"/>
    <mergeCell ref="D706:I706"/>
    <mergeCell ref="D707:I707"/>
    <mergeCell ref="D708:I708"/>
    <mergeCell ref="D697:I697"/>
    <mergeCell ref="D698:I698"/>
    <mergeCell ref="D699:I699"/>
    <mergeCell ref="D700:I700"/>
    <mergeCell ref="D701:I701"/>
    <mergeCell ref="D702:I702"/>
    <mergeCell ref="D691:I691"/>
    <mergeCell ref="D692:I692"/>
    <mergeCell ref="D693:I693"/>
    <mergeCell ref="D694:I694"/>
    <mergeCell ref="D695:I695"/>
    <mergeCell ref="D696:I696"/>
    <mergeCell ref="D684:I684"/>
    <mergeCell ref="D685:I685"/>
    <mergeCell ref="D686:I686"/>
    <mergeCell ref="D687:I687"/>
    <mergeCell ref="D689:I689"/>
    <mergeCell ref="D690:I690"/>
    <mergeCell ref="D678:I678"/>
    <mergeCell ref="D679:I679"/>
    <mergeCell ref="D680:I680"/>
    <mergeCell ref="D681:I681"/>
    <mergeCell ref="D682:I682"/>
    <mergeCell ref="D683:I683"/>
    <mergeCell ref="D672:I672"/>
    <mergeCell ref="D673:I673"/>
    <mergeCell ref="D674:I674"/>
    <mergeCell ref="D675:I675"/>
    <mergeCell ref="D676:I676"/>
    <mergeCell ref="D677:I677"/>
    <mergeCell ref="D666:I666"/>
    <mergeCell ref="D667:I667"/>
    <mergeCell ref="D668:I668"/>
    <mergeCell ref="D669:I669"/>
    <mergeCell ref="D670:I670"/>
    <mergeCell ref="D671:I671"/>
    <mergeCell ref="D658:I658"/>
    <mergeCell ref="D660:I660"/>
    <mergeCell ref="D661:I661"/>
    <mergeCell ref="D662:I662"/>
    <mergeCell ref="D663:I663"/>
    <mergeCell ref="D665:I665"/>
    <mergeCell ref="D652:I652"/>
    <mergeCell ref="D653:I653"/>
    <mergeCell ref="D654:I654"/>
    <mergeCell ref="D655:I655"/>
    <mergeCell ref="D656:I656"/>
    <mergeCell ref="D657:I657"/>
    <mergeCell ref="D646:I646"/>
    <mergeCell ref="D647:I647"/>
    <mergeCell ref="D648:I648"/>
    <mergeCell ref="D649:I649"/>
    <mergeCell ref="D650:I650"/>
    <mergeCell ref="D651:I651"/>
    <mergeCell ref="D640:I640"/>
    <mergeCell ref="D641:I641"/>
    <mergeCell ref="D642:I642"/>
    <mergeCell ref="D643:I643"/>
    <mergeCell ref="D644:I644"/>
    <mergeCell ref="D645:I645"/>
    <mergeCell ref="D633:I633"/>
    <mergeCell ref="D634:I634"/>
    <mergeCell ref="D635:I635"/>
    <mergeCell ref="D636:I636"/>
    <mergeCell ref="D637:I637"/>
    <mergeCell ref="D638:I638"/>
    <mergeCell ref="D627:I627"/>
    <mergeCell ref="D628:I628"/>
    <mergeCell ref="D629:I629"/>
    <mergeCell ref="D630:I630"/>
    <mergeCell ref="D631:I631"/>
    <mergeCell ref="D632:I632"/>
    <mergeCell ref="D621:I621"/>
    <mergeCell ref="D622:I622"/>
    <mergeCell ref="D623:I623"/>
    <mergeCell ref="D624:I624"/>
    <mergeCell ref="D625:I625"/>
    <mergeCell ref="D626:I626"/>
    <mergeCell ref="D612:G612"/>
    <mergeCell ref="D613:G613"/>
    <mergeCell ref="D615:L615"/>
    <mergeCell ref="D616:L616"/>
    <mergeCell ref="D618:I618"/>
    <mergeCell ref="D620:I620"/>
    <mergeCell ref="D606:I606"/>
    <mergeCell ref="D607:I607"/>
    <mergeCell ref="D608:I608"/>
    <mergeCell ref="D609:I609"/>
    <mergeCell ref="D610:I610"/>
    <mergeCell ref="D611:I611"/>
    <mergeCell ref="D600:I600"/>
    <mergeCell ref="D601:I601"/>
    <mergeCell ref="D602:I602"/>
    <mergeCell ref="D603:I603"/>
    <mergeCell ref="D604:I604"/>
    <mergeCell ref="D605:I605"/>
    <mergeCell ref="D594:I594"/>
    <mergeCell ref="D595:I595"/>
    <mergeCell ref="D596:I596"/>
    <mergeCell ref="D597:I597"/>
    <mergeCell ref="D598:I598"/>
    <mergeCell ref="D599:I599"/>
    <mergeCell ref="D588:I588"/>
    <mergeCell ref="D589:I589"/>
    <mergeCell ref="D590:I590"/>
    <mergeCell ref="D591:I591"/>
    <mergeCell ref="D592:I592"/>
    <mergeCell ref="D593:I593"/>
    <mergeCell ref="D583:I583"/>
    <mergeCell ref="J583:K583"/>
    <mergeCell ref="L583:M583"/>
    <mergeCell ref="D585:I585"/>
    <mergeCell ref="D586:I586"/>
    <mergeCell ref="D587:I587"/>
    <mergeCell ref="D565:I565"/>
    <mergeCell ref="J565:K565"/>
    <mergeCell ref="L565:M565"/>
    <mergeCell ref="D574:I574"/>
    <mergeCell ref="J574:K574"/>
    <mergeCell ref="L574:M574"/>
    <mergeCell ref="D540:G540"/>
    <mergeCell ref="D541:G541"/>
    <mergeCell ref="D543:L543"/>
    <mergeCell ref="D544:L544"/>
    <mergeCell ref="A546:M546"/>
    <mergeCell ref="D556:I556"/>
    <mergeCell ref="J556:K556"/>
    <mergeCell ref="L556:M556"/>
    <mergeCell ref="D534:I534"/>
    <mergeCell ref="D535:I535"/>
    <mergeCell ref="D536:I536"/>
    <mergeCell ref="D537:I537"/>
    <mergeCell ref="D538:I538"/>
    <mergeCell ref="D539:I539"/>
    <mergeCell ref="D528:I528"/>
    <mergeCell ref="D529:I529"/>
    <mergeCell ref="D530:I530"/>
    <mergeCell ref="D531:I531"/>
    <mergeCell ref="D532:I532"/>
    <mergeCell ref="D533:I533"/>
    <mergeCell ref="D522:I522"/>
    <mergeCell ref="D523:I523"/>
    <mergeCell ref="D524:I524"/>
    <mergeCell ref="D525:I525"/>
    <mergeCell ref="D526:I526"/>
    <mergeCell ref="D527:I527"/>
    <mergeCell ref="D516:I516"/>
    <mergeCell ref="D517:I517"/>
    <mergeCell ref="D518:I518"/>
    <mergeCell ref="D519:I519"/>
    <mergeCell ref="D520:I520"/>
    <mergeCell ref="D521:I521"/>
    <mergeCell ref="D511:I511"/>
    <mergeCell ref="J511:K511"/>
    <mergeCell ref="L511:M511"/>
    <mergeCell ref="D513:I513"/>
    <mergeCell ref="D514:I514"/>
    <mergeCell ref="D515:I515"/>
    <mergeCell ref="D507:I507"/>
    <mergeCell ref="J507:K507"/>
    <mergeCell ref="L507:M507"/>
    <mergeCell ref="D509:I509"/>
    <mergeCell ref="J509:K509"/>
    <mergeCell ref="L509:M509"/>
    <mergeCell ref="D503:I503"/>
    <mergeCell ref="J503:K503"/>
    <mergeCell ref="L503:M503"/>
    <mergeCell ref="D505:I505"/>
    <mergeCell ref="J505:K505"/>
    <mergeCell ref="L505:M505"/>
    <mergeCell ref="D499:I499"/>
    <mergeCell ref="J499:K499"/>
    <mergeCell ref="L499:M499"/>
    <mergeCell ref="D501:I501"/>
    <mergeCell ref="J501:K501"/>
    <mergeCell ref="L501:M501"/>
    <mergeCell ref="D491:L491"/>
    <mergeCell ref="A493:M493"/>
    <mergeCell ref="D495:I495"/>
    <mergeCell ref="J495:K495"/>
    <mergeCell ref="L495:M495"/>
    <mergeCell ref="D497:I497"/>
    <mergeCell ref="J497:K497"/>
    <mergeCell ref="L497:M497"/>
    <mergeCell ref="D484:I484"/>
    <mergeCell ref="D485:I485"/>
    <mergeCell ref="D486:I486"/>
    <mergeCell ref="D487:G487"/>
    <mergeCell ref="D488:G488"/>
    <mergeCell ref="D490:L490"/>
    <mergeCell ref="D478:I478"/>
    <mergeCell ref="D479:I479"/>
    <mergeCell ref="D480:I480"/>
    <mergeCell ref="D481:I481"/>
    <mergeCell ref="D482:I482"/>
    <mergeCell ref="D483:I483"/>
    <mergeCell ref="D472:I472"/>
    <mergeCell ref="D473:I473"/>
    <mergeCell ref="D474:I474"/>
    <mergeCell ref="D475:I475"/>
    <mergeCell ref="D476:I476"/>
    <mergeCell ref="D477:I477"/>
    <mergeCell ref="D466:I466"/>
    <mergeCell ref="D467:I467"/>
    <mergeCell ref="D468:I468"/>
    <mergeCell ref="D469:I469"/>
    <mergeCell ref="D470:I470"/>
    <mergeCell ref="D471:I471"/>
    <mergeCell ref="D460:I460"/>
    <mergeCell ref="D461:I461"/>
    <mergeCell ref="D462:I462"/>
    <mergeCell ref="D463:I463"/>
    <mergeCell ref="D464:I464"/>
    <mergeCell ref="D465:I465"/>
    <mergeCell ref="D438:I438"/>
    <mergeCell ref="J438:K438"/>
    <mergeCell ref="L438:M438"/>
    <mergeCell ref="D458:I458"/>
    <mergeCell ref="J458:K458"/>
    <mergeCell ref="L458:M458"/>
    <mergeCell ref="D403:I403"/>
    <mergeCell ref="J403:K403"/>
    <mergeCell ref="L403:M403"/>
    <mergeCell ref="D416:I416"/>
    <mergeCell ref="J416:K416"/>
    <mergeCell ref="L416:M416"/>
    <mergeCell ref="D348:I348"/>
    <mergeCell ref="J348:K348"/>
    <mergeCell ref="L348:M348"/>
    <mergeCell ref="D378:I378"/>
    <mergeCell ref="J378:K378"/>
    <mergeCell ref="L378:M378"/>
    <mergeCell ref="D311:I311"/>
    <mergeCell ref="J311:K311"/>
    <mergeCell ref="L311:M311"/>
    <mergeCell ref="D328:I328"/>
    <mergeCell ref="J328:K328"/>
    <mergeCell ref="L328:M328"/>
    <mergeCell ref="D274:G274"/>
    <mergeCell ref="D275:G275"/>
    <mergeCell ref="D277:L277"/>
    <mergeCell ref="D278:L278"/>
    <mergeCell ref="A280:M280"/>
    <mergeCell ref="D301:I301"/>
    <mergeCell ref="J301:K301"/>
    <mergeCell ref="L301:M301"/>
    <mergeCell ref="D268:I268"/>
    <mergeCell ref="D269:I269"/>
    <mergeCell ref="D270:I270"/>
    <mergeCell ref="D271:I271"/>
    <mergeCell ref="D272:I272"/>
    <mergeCell ref="D273:I273"/>
    <mergeCell ref="D262:I262"/>
    <mergeCell ref="D263:I263"/>
    <mergeCell ref="D264:I264"/>
    <mergeCell ref="D265:I265"/>
    <mergeCell ref="D266:I266"/>
    <mergeCell ref="D267:I267"/>
    <mergeCell ref="D256:I256"/>
    <mergeCell ref="D257:I257"/>
    <mergeCell ref="D258:I258"/>
    <mergeCell ref="D259:I259"/>
    <mergeCell ref="D260:I260"/>
    <mergeCell ref="D261:I261"/>
    <mergeCell ref="D250:I250"/>
    <mergeCell ref="D251:I251"/>
    <mergeCell ref="D252:I252"/>
    <mergeCell ref="D253:I253"/>
    <mergeCell ref="D254:I254"/>
    <mergeCell ref="D255:I255"/>
    <mergeCell ref="D245:I245"/>
    <mergeCell ref="J245:K245"/>
    <mergeCell ref="L245:M245"/>
    <mergeCell ref="D247:I247"/>
    <mergeCell ref="D248:I248"/>
    <mergeCell ref="D249:I249"/>
    <mergeCell ref="D241:I241"/>
    <mergeCell ref="J241:K241"/>
    <mergeCell ref="L241:M241"/>
    <mergeCell ref="D243:I243"/>
    <mergeCell ref="J243:K243"/>
    <mergeCell ref="L243:M243"/>
    <mergeCell ref="D233:L233"/>
    <mergeCell ref="A235:M235"/>
    <mergeCell ref="D237:I237"/>
    <mergeCell ref="J237:K237"/>
    <mergeCell ref="L237:M237"/>
    <mergeCell ref="D239:I239"/>
    <mergeCell ref="J239:K239"/>
    <mergeCell ref="L239:M239"/>
    <mergeCell ref="D226:I226"/>
    <mergeCell ref="D227:I227"/>
    <mergeCell ref="D228:I228"/>
    <mergeCell ref="D229:G229"/>
    <mergeCell ref="D230:G230"/>
    <mergeCell ref="D232:L232"/>
    <mergeCell ref="D220:I220"/>
    <mergeCell ref="D221:I221"/>
    <mergeCell ref="D222:I222"/>
    <mergeCell ref="D223:I223"/>
    <mergeCell ref="D224:I224"/>
    <mergeCell ref="D225:I225"/>
    <mergeCell ref="D214:I214"/>
    <mergeCell ref="D215:I215"/>
    <mergeCell ref="D216:I216"/>
    <mergeCell ref="D217:I217"/>
    <mergeCell ref="D218:I218"/>
    <mergeCell ref="D219:I219"/>
    <mergeCell ref="D208:I208"/>
    <mergeCell ref="D209:I209"/>
    <mergeCell ref="D210:I210"/>
    <mergeCell ref="D211:I211"/>
    <mergeCell ref="D212:I212"/>
    <mergeCell ref="D213:I213"/>
    <mergeCell ref="D202:I202"/>
    <mergeCell ref="D203:I203"/>
    <mergeCell ref="D204:I204"/>
    <mergeCell ref="D205:I205"/>
    <mergeCell ref="D206:I206"/>
    <mergeCell ref="D207:I207"/>
    <mergeCell ref="D171:L171"/>
    <mergeCell ref="A173:M173"/>
    <mergeCell ref="D190:I190"/>
    <mergeCell ref="J190:K190"/>
    <mergeCell ref="L190:M190"/>
    <mergeCell ref="D200:I200"/>
    <mergeCell ref="J200:K200"/>
    <mergeCell ref="L200:M200"/>
    <mergeCell ref="D164:I164"/>
    <mergeCell ref="D165:I165"/>
    <mergeCell ref="D166:I166"/>
    <mergeCell ref="D167:G167"/>
    <mergeCell ref="D168:G168"/>
    <mergeCell ref="D170:L170"/>
    <mergeCell ref="D158:I158"/>
    <mergeCell ref="D159:I159"/>
    <mergeCell ref="D160:I160"/>
    <mergeCell ref="D161:I161"/>
    <mergeCell ref="D162:I162"/>
    <mergeCell ref="D163:I163"/>
    <mergeCell ref="D152:I152"/>
    <mergeCell ref="D153:I153"/>
    <mergeCell ref="D154:I154"/>
    <mergeCell ref="D155:I155"/>
    <mergeCell ref="D156:I156"/>
    <mergeCell ref="D157:I157"/>
    <mergeCell ref="D146:I146"/>
    <mergeCell ref="D147:I147"/>
    <mergeCell ref="D148:I148"/>
    <mergeCell ref="D149:I149"/>
    <mergeCell ref="D150:I150"/>
    <mergeCell ref="D151:I151"/>
    <mergeCell ref="D140:I140"/>
    <mergeCell ref="D141:I141"/>
    <mergeCell ref="D142:I142"/>
    <mergeCell ref="D143:I143"/>
    <mergeCell ref="D144:I144"/>
    <mergeCell ref="D145:I145"/>
    <mergeCell ref="D136:I136"/>
    <mergeCell ref="J136:K136"/>
    <mergeCell ref="L136:M136"/>
    <mergeCell ref="D138:I138"/>
    <mergeCell ref="J138:K138"/>
    <mergeCell ref="L138:M138"/>
    <mergeCell ref="D132:I132"/>
    <mergeCell ref="J132:K132"/>
    <mergeCell ref="L132:M132"/>
    <mergeCell ref="D134:I134"/>
    <mergeCell ref="J134:K134"/>
    <mergeCell ref="L134:M134"/>
    <mergeCell ref="D124:L124"/>
    <mergeCell ref="A126:M126"/>
    <mergeCell ref="D128:I128"/>
    <mergeCell ref="J128:K128"/>
    <mergeCell ref="L128:M128"/>
    <mergeCell ref="D130:I130"/>
    <mergeCell ref="J130:K130"/>
    <mergeCell ref="L130:M130"/>
    <mergeCell ref="D117:I117"/>
    <mergeCell ref="D118:I118"/>
    <mergeCell ref="D119:I119"/>
    <mergeCell ref="D120:G120"/>
    <mergeCell ref="D121:G121"/>
    <mergeCell ref="D123:L123"/>
    <mergeCell ref="D111:I111"/>
    <mergeCell ref="D112:I112"/>
    <mergeCell ref="D113:I113"/>
    <mergeCell ref="D114:I114"/>
    <mergeCell ref="D115:I115"/>
    <mergeCell ref="D116:I116"/>
    <mergeCell ref="D105:I105"/>
    <mergeCell ref="D106:I106"/>
    <mergeCell ref="D107:I107"/>
    <mergeCell ref="D108:I108"/>
    <mergeCell ref="D109:I109"/>
    <mergeCell ref="D110:I110"/>
    <mergeCell ref="D99:I99"/>
    <mergeCell ref="D100:I100"/>
    <mergeCell ref="D101:I101"/>
    <mergeCell ref="D102:I102"/>
    <mergeCell ref="D103:I103"/>
    <mergeCell ref="D104:I104"/>
    <mergeCell ref="D93:I93"/>
    <mergeCell ref="D94:I94"/>
    <mergeCell ref="D95:I95"/>
    <mergeCell ref="D96:I96"/>
    <mergeCell ref="D97:I97"/>
    <mergeCell ref="D98:I98"/>
    <mergeCell ref="D81:I81"/>
    <mergeCell ref="J81:K81"/>
    <mergeCell ref="L81:M81"/>
    <mergeCell ref="D91:I91"/>
    <mergeCell ref="J91:K91"/>
    <mergeCell ref="L91:M91"/>
    <mergeCell ref="B33:B36"/>
    <mergeCell ref="A39:M39"/>
    <mergeCell ref="A41:M41"/>
    <mergeCell ref="D58:I58"/>
    <mergeCell ref="J58:K58"/>
    <mergeCell ref="L58:M58"/>
    <mergeCell ref="A28:M28"/>
    <mergeCell ref="A29:M29"/>
    <mergeCell ref="A31:M31"/>
    <mergeCell ref="A32:B32"/>
    <mergeCell ref="C32:C36"/>
    <mergeCell ref="D32:D36"/>
    <mergeCell ref="E32:E36"/>
    <mergeCell ref="F32:H35"/>
    <mergeCell ref="I32:M35"/>
    <mergeCell ref="A33:A36"/>
    <mergeCell ref="H20:I20"/>
    <mergeCell ref="K20:M20"/>
    <mergeCell ref="K21:M21"/>
    <mergeCell ref="K22:M22"/>
    <mergeCell ref="G24:G25"/>
    <mergeCell ref="H24:H25"/>
    <mergeCell ref="I24:J24"/>
    <mergeCell ref="C16:I16"/>
    <mergeCell ref="K16:M17"/>
    <mergeCell ref="A17:B17"/>
    <mergeCell ref="C17:I17"/>
    <mergeCell ref="C18:I18"/>
    <mergeCell ref="H19:J19"/>
    <mergeCell ref="K19:M19"/>
    <mergeCell ref="C12:I12"/>
    <mergeCell ref="K12:M13"/>
    <mergeCell ref="A13:B13"/>
    <mergeCell ref="C13:I13"/>
    <mergeCell ref="C14:I14"/>
    <mergeCell ref="K14:M15"/>
    <mergeCell ref="A15:B15"/>
    <mergeCell ref="C15:I15"/>
    <mergeCell ref="A9:B9"/>
    <mergeCell ref="C9:I9"/>
    <mergeCell ref="C10:I10"/>
    <mergeCell ref="K10:M11"/>
    <mergeCell ref="A11:B11"/>
    <mergeCell ref="C11:I11"/>
    <mergeCell ref="J2:M2"/>
    <mergeCell ref="I3:M3"/>
    <mergeCell ref="J4:M4"/>
    <mergeCell ref="K6:M6"/>
    <mergeCell ref="K7:M7"/>
    <mergeCell ref="K8:M9"/>
  </mergeCells>
  <pageMargins left="0.4" right="0.2" top="0.4" bottom="0.4" header="0.2" footer="0.2"/>
  <pageSetup paperSize="9" scale="58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zoomScaleNormal="100" workbookViewId="0">
      <selection sqref="A1:D1"/>
    </sheetView>
  </sheetViews>
  <sheetFormatPr defaultRowHeight="12.75"/>
  <cols>
    <col min="1" max="1" width="5.7109375" customWidth="1"/>
    <col min="2" max="2" width="22.7109375" customWidth="1"/>
    <col min="10" max="11" width="11.140625" customWidth="1"/>
  </cols>
  <sheetData>
    <row r="1" spans="1:12" ht="14.25">
      <c r="A1" s="172" t="str">
        <f>Source!B1</f>
        <v>Smeta.RU  (495) 974-1589</v>
      </c>
      <c r="B1" s="172"/>
      <c r="C1" s="172"/>
      <c r="D1" s="172"/>
      <c r="E1" s="39"/>
      <c r="F1" s="39"/>
      <c r="G1" s="39"/>
      <c r="H1" s="173" t="s">
        <v>610</v>
      </c>
      <c r="I1" s="173"/>
      <c r="J1" s="173"/>
      <c r="K1" s="173"/>
      <c r="L1" s="173"/>
    </row>
    <row r="2" spans="1:12" ht="14.25">
      <c r="A2" s="39"/>
      <c r="B2" s="39"/>
      <c r="C2" s="39"/>
      <c r="D2" s="39"/>
      <c r="E2" s="39"/>
      <c r="F2" s="39"/>
      <c r="G2" s="39"/>
      <c r="H2" s="173" t="s">
        <v>579</v>
      </c>
      <c r="I2" s="173"/>
      <c r="J2" s="173"/>
      <c r="K2" s="173"/>
      <c r="L2" s="173"/>
    </row>
    <row r="3" spans="1:12" ht="14.25">
      <c r="A3" s="39"/>
      <c r="B3" s="39"/>
      <c r="C3" s="39"/>
      <c r="D3" s="39"/>
      <c r="E3" s="39"/>
      <c r="F3" s="39"/>
      <c r="G3" s="39"/>
      <c r="H3" s="173" t="s">
        <v>580</v>
      </c>
      <c r="I3" s="173"/>
      <c r="J3" s="173"/>
      <c r="K3" s="173"/>
      <c r="L3" s="173"/>
    </row>
    <row r="4" spans="1:12" ht="14.25">
      <c r="A4" s="39"/>
      <c r="B4" s="39"/>
      <c r="C4" s="39"/>
      <c r="D4" s="39"/>
      <c r="E4" s="39"/>
      <c r="F4" s="39"/>
      <c r="G4" s="39"/>
      <c r="H4" s="39"/>
      <c r="I4" s="39"/>
      <c r="J4" s="39"/>
      <c r="K4" s="170" t="s">
        <v>611</v>
      </c>
      <c r="L4" s="171"/>
    </row>
    <row r="5" spans="1:12" ht="14.25">
      <c r="A5" s="39"/>
      <c r="B5" s="39"/>
      <c r="C5" s="39"/>
      <c r="D5" s="39"/>
      <c r="E5" s="39"/>
      <c r="F5" s="39"/>
      <c r="G5" s="39"/>
      <c r="H5" s="39"/>
      <c r="I5" s="169" t="s">
        <v>582</v>
      </c>
      <c r="J5" s="169"/>
      <c r="K5" s="170">
        <v>322001</v>
      </c>
      <c r="L5" s="171"/>
    </row>
    <row r="6" spans="1:12" ht="14.25">
      <c r="A6" s="169" t="s">
        <v>612</v>
      </c>
      <c r="B6" s="169"/>
      <c r="C6" s="174"/>
      <c r="D6" s="174"/>
      <c r="E6" s="174"/>
      <c r="F6" s="174"/>
      <c r="G6" s="174"/>
      <c r="H6" s="174"/>
      <c r="I6" s="174"/>
      <c r="J6" s="44" t="s">
        <v>584</v>
      </c>
      <c r="K6" s="170"/>
      <c r="L6" s="171"/>
    </row>
    <row r="7" spans="1:12" ht="14.25">
      <c r="A7" s="39"/>
      <c r="B7" s="39"/>
      <c r="C7" s="177" t="s">
        <v>585</v>
      </c>
      <c r="D7" s="177"/>
      <c r="E7" s="177"/>
      <c r="F7" s="177"/>
      <c r="G7" s="177"/>
      <c r="H7" s="177"/>
      <c r="I7" s="177"/>
      <c r="J7" s="39"/>
      <c r="K7" s="94"/>
      <c r="L7" s="95"/>
    </row>
    <row r="8" spans="1:12" ht="14.25">
      <c r="A8" s="169" t="s">
        <v>613</v>
      </c>
      <c r="B8" s="169"/>
      <c r="C8" s="174"/>
      <c r="D8" s="174"/>
      <c r="E8" s="174"/>
      <c r="F8" s="174"/>
      <c r="G8" s="174"/>
      <c r="H8" s="174"/>
      <c r="I8" s="96"/>
      <c r="J8" s="44" t="s">
        <v>584</v>
      </c>
      <c r="K8" s="175"/>
      <c r="L8" s="176"/>
    </row>
    <row r="9" spans="1:12" ht="14.25">
      <c r="A9" s="39"/>
      <c r="B9" s="39"/>
      <c r="C9" s="177" t="s">
        <v>585</v>
      </c>
      <c r="D9" s="177"/>
      <c r="E9" s="177"/>
      <c r="F9" s="177"/>
      <c r="G9" s="177"/>
      <c r="H9" s="177"/>
      <c r="I9" s="177"/>
      <c r="J9" s="39"/>
      <c r="K9" s="94"/>
      <c r="L9" s="95"/>
    </row>
    <row r="10" spans="1:12" ht="14.25">
      <c r="A10" s="169" t="s">
        <v>614</v>
      </c>
      <c r="B10" s="169"/>
      <c r="C10" s="174"/>
      <c r="D10" s="174"/>
      <c r="E10" s="174"/>
      <c r="F10" s="174"/>
      <c r="G10" s="174"/>
      <c r="H10" s="174"/>
      <c r="I10" s="174"/>
      <c r="J10" s="44" t="s">
        <v>584</v>
      </c>
      <c r="K10" s="175"/>
      <c r="L10" s="176"/>
    </row>
    <row r="11" spans="1:12" ht="14.25">
      <c r="A11" s="39"/>
      <c r="B11" s="39"/>
      <c r="C11" s="177" t="s">
        <v>585</v>
      </c>
      <c r="D11" s="177"/>
      <c r="E11" s="177"/>
      <c r="F11" s="177"/>
      <c r="G11" s="177"/>
      <c r="H11" s="177"/>
      <c r="I11" s="177"/>
      <c r="J11" s="39"/>
      <c r="K11" s="94"/>
      <c r="L11" s="95"/>
    </row>
    <row r="12" spans="1:12" ht="14.25">
      <c r="A12" s="169" t="s">
        <v>615</v>
      </c>
      <c r="B12" s="169"/>
      <c r="C12" s="174"/>
      <c r="D12" s="174"/>
      <c r="E12" s="174"/>
      <c r="F12" s="174"/>
      <c r="G12" s="174"/>
      <c r="H12" s="174"/>
      <c r="I12" s="174"/>
      <c r="J12" s="44" t="s">
        <v>584</v>
      </c>
      <c r="K12" s="175"/>
      <c r="L12" s="176"/>
    </row>
    <row r="13" spans="1:12" ht="14.25">
      <c r="A13" s="39"/>
      <c r="B13" s="39"/>
      <c r="C13" s="177" t="s">
        <v>589</v>
      </c>
      <c r="D13" s="177"/>
      <c r="E13" s="177"/>
      <c r="F13" s="177"/>
      <c r="G13" s="177"/>
      <c r="H13" s="169" t="s">
        <v>616</v>
      </c>
      <c r="I13" s="169"/>
      <c r="J13" s="178"/>
      <c r="K13" s="170"/>
      <c r="L13" s="171"/>
    </row>
    <row r="14" spans="1:12" ht="14.25">
      <c r="A14" s="39"/>
      <c r="B14" s="39"/>
      <c r="C14" s="39"/>
      <c r="D14" s="39"/>
      <c r="E14" s="169" t="s">
        <v>617</v>
      </c>
      <c r="F14" s="169"/>
      <c r="G14" s="169"/>
      <c r="H14" s="169"/>
      <c r="I14" s="179" t="s">
        <v>594</v>
      </c>
      <c r="J14" s="180"/>
      <c r="K14" s="170"/>
      <c r="L14" s="171"/>
    </row>
    <row r="15" spans="1:12" ht="14.25">
      <c r="A15" s="39"/>
      <c r="B15" s="39"/>
      <c r="C15" s="39"/>
      <c r="D15" s="39"/>
      <c r="E15" s="39"/>
      <c r="F15" s="39"/>
      <c r="G15" s="39"/>
      <c r="H15" s="39"/>
      <c r="I15" s="182" t="s">
        <v>595</v>
      </c>
      <c r="J15" s="183"/>
      <c r="K15" s="184"/>
      <c r="L15" s="185"/>
    </row>
    <row r="16" spans="1:12" ht="14.25">
      <c r="A16" s="39"/>
      <c r="B16" s="39"/>
      <c r="C16" s="39"/>
      <c r="D16" s="39"/>
      <c r="E16" s="39"/>
      <c r="F16" s="39"/>
      <c r="G16" s="39"/>
      <c r="H16" s="39"/>
      <c r="I16" s="180" t="s">
        <v>596</v>
      </c>
      <c r="J16" s="180"/>
      <c r="K16" s="186"/>
      <c r="L16" s="187"/>
    </row>
    <row r="17" spans="1:12" ht="14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ht="14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ht="14.25">
      <c r="A19" s="39"/>
      <c r="B19" s="39"/>
      <c r="C19" s="188" t="s">
        <v>597</v>
      </c>
      <c r="D19" s="189"/>
      <c r="E19" s="188" t="s">
        <v>598</v>
      </c>
      <c r="F19" s="192"/>
      <c r="G19" s="39"/>
      <c r="H19" s="39"/>
      <c r="I19" s="188" t="s">
        <v>599</v>
      </c>
      <c r="J19" s="189"/>
      <c r="K19" s="189"/>
      <c r="L19" s="192"/>
    </row>
    <row r="20" spans="1:12" ht="14.25">
      <c r="A20" s="39"/>
      <c r="B20" s="39"/>
      <c r="C20" s="190"/>
      <c r="D20" s="191"/>
      <c r="E20" s="190"/>
      <c r="F20" s="193"/>
      <c r="G20" s="39"/>
      <c r="H20" s="39"/>
      <c r="I20" s="194" t="s">
        <v>600</v>
      </c>
      <c r="J20" s="195"/>
      <c r="K20" s="194" t="s">
        <v>601</v>
      </c>
      <c r="L20" s="196"/>
    </row>
    <row r="21" spans="1:12" ht="14.25">
      <c r="A21" s="39"/>
      <c r="B21" s="39"/>
      <c r="C21" s="197"/>
      <c r="D21" s="198"/>
      <c r="E21" s="199"/>
      <c r="F21" s="200"/>
      <c r="G21" s="97"/>
      <c r="H21" s="97"/>
      <c r="I21" s="199"/>
      <c r="J21" s="201"/>
      <c r="K21" s="199"/>
      <c r="L21" s="200"/>
    </row>
    <row r="22" spans="1:12" ht="14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ht="14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2" ht="18">
      <c r="A24" s="181" t="s">
        <v>618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</row>
    <row r="25" spans="1:12" ht="18">
      <c r="A25" s="181" t="s">
        <v>619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</row>
    <row r="26" spans="1:12" ht="14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1:12" ht="14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ht="14.25">
      <c r="A28" s="202" t="s">
        <v>465</v>
      </c>
      <c r="B28" s="202" t="s">
        <v>620</v>
      </c>
      <c r="C28" s="204"/>
      <c r="D28" s="204"/>
      <c r="E28" s="204"/>
      <c r="F28" s="202" t="s">
        <v>581</v>
      </c>
      <c r="G28" s="202" t="s">
        <v>621</v>
      </c>
      <c r="H28" s="204"/>
      <c r="I28" s="204"/>
      <c r="J28" s="204"/>
      <c r="K28" s="204"/>
      <c r="L28" s="206"/>
    </row>
    <row r="29" spans="1:12">
      <c r="A29" s="203"/>
      <c r="B29" s="203"/>
      <c r="C29" s="205"/>
      <c r="D29" s="205"/>
      <c r="E29" s="205"/>
      <c r="F29" s="203"/>
      <c r="G29" s="202" t="s">
        <v>622</v>
      </c>
      <c r="H29" s="204"/>
      <c r="I29" s="202" t="s">
        <v>623</v>
      </c>
      <c r="J29" s="204"/>
      <c r="K29" s="202" t="s">
        <v>624</v>
      </c>
      <c r="L29" s="206"/>
    </row>
    <row r="30" spans="1:12">
      <c r="A30" s="203"/>
      <c r="B30" s="203"/>
      <c r="C30" s="205"/>
      <c r="D30" s="205"/>
      <c r="E30" s="205"/>
      <c r="F30" s="203"/>
      <c r="G30" s="203"/>
      <c r="H30" s="205"/>
      <c r="I30" s="203"/>
      <c r="J30" s="205"/>
      <c r="K30" s="203"/>
      <c r="L30" s="207"/>
    </row>
    <row r="31" spans="1:12">
      <c r="A31" s="203"/>
      <c r="B31" s="203"/>
      <c r="C31" s="205"/>
      <c r="D31" s="205"/>
      <c r="E31" s="205"/>
      <c r="F31" s="203"/>
      <c r="G31" s="203"/>
      <c r="H31" s="205"/>
      <c r="I31" s="203"/>
      <c r="J31" s="205"/>
      <c r="K31" s="203"/>
      <c r="L31" s="207"/>
    </row>
    <row r="32" spans="1:12">
      <c r="A32" s="203"/>
      <c r="B32" s="203"/>
      <c r="C32" s="205"/>
      <c r="D32" s="205"/>
      <c r="E32" s="205"/>
      <c r="F32" s="203"/>
      <c r="G32" s="203"/>
      <c r="H32" s="205"/>
      <c r="I32" s="203"/>
      <c r="J32" s="205"/>
      <c r="K32" s="203"/>
      <c r="L32" s="207"/>
    </row>
    <row r="33" spans="1:12" ht="14.25">
      <c r="A33" s="94">
        <v>1</v>
      </c>
      <c r="B33" s="170">
        <v>2</v>
      </c>
      <c r="C33" s="211"/>
      <c r="D33" s="211"/>
      <c r="E33" s="211"/>
      <c r="F33" s="94">
        <v>3</v>
      </c>
      <c r="G33" s="170">
        <v>4</v>
      </c>
      <c r="H33" s="211"/>
      <c r="I33" s="170">
        <v>5</v>
      </c>
      <c r="J33" s="211"/>
      <c r="K33" s="170">
        <v>6</v>
      </c>
      <c r="L33" s="171"/>
    </row>
    <row r="34" spans="1:12" ht="14.25">
      <c r="A34" s="98"/>
      <c r="B34" s="212" t="s">
        <v>625</v>
      </c>
      <c r="C34" s="213"/>
      <c r="D34" s="213"/>
      <c r="E34" s="213"/>
      <c r="F34" s="99"/>
      <c r="G34" s="214"/>
      <c r="H34" s="215"/>
      <c r="I34" s="214"/>
      <c r="J34" s="215"/>
      <c r="K34" s="214"/>
      <c r="L34" s="216"/>
    </row>
    <row r="35" spans="1:12" ht="14.25">
      <c r="A35" s="100"/>
      <c r="B35" s="217" t="s">
        <v>626</v>
      </c>
      <c r="C35" s="218"/>
      <c r="D35" s="218"/>
      <c r="E35" s="218"/>
      <c r="F35" s="218"/>
      <c r="G35" s="218"/>
      <c r="H35" s="218"/>
      <c r="I35" s="218"/>
      <c r="J35" s="218"/>
      <c r="K35" s="213"/>
      <c r="L35" s="219"/>
    </row>
    <row r="36" spans="1:12" ht="14.25">
      <c r="A36" s="180" t="s">
        <v>627</v>
      </c>
      <c r="B36" s="180"/>
      <c r="C36" s="180"/>
      <c r="D36" s="180"/>
      <c r="E36" s="180"/>
      <c r="F36" s="180"/>
      <c r="G36" s="180"/>
      <c r="H36" s="180"/>
      <c r="I36" s="180"/>
      <c r="J36" s="220"/>
      <c r="K36" s="221"/>
      <c r="L36" s="220"/>
    </row>
    <row r="37" spans="1:12" ht="14.25">
      <c r="A37" s="208" t="s">
        <v>628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22"/>
      <c r="L37" s="223"/>
    </row>
    <row r="38" spans="1:12" ht="14.25">
      <c r="A38" s="208" t="s">
        <v>629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9"/>
      <c r="L38" s="210"/>
    </row>
    <row r="39" spans="1:12" ht="14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</row>
    <row r="42" spans="1:12" ht="14.25">
      <c r="A42" s="224" t="s">
        <v>613</v>
      </c>
      <c r="B42" s="224"/>
      <c r="C42" s="225"/>
      <c r="D42" s="225"/>
      <c r="E42" s="225"/>
      <c r="F42" s="39"/>
      <c r="G42" s="225"/>
      <c r="H42" s="225"/>
      <c r="I42" s="39"/>
      <c r="J42" s="225"/>
      <c r="K42" s="225"/>
      <c r="L42" s="225"/>
    </row>
    <row r="43" spans="1:12" ht="14.25">
      <c r="A43" s="39"/>
      <c r="B43" s="39"/>
      <c r="C43" s="226" t="s">
        <v>630</v>
      </c>
      <c r="D43" s="226"/>
      <c r="E43" s="226"/>
      <c r="F43" s="39"/>
      <c r="G43" s="226" t="s">
        <v>631</v>
      </c>
      <c r="H43" s="226"/>
      <c r="I43" s="39"/>
      <c r="J43" s="226" t="s">
        <v>632</v>
      </c>
      <c r="K43" s="226"/>
      <c r="L43" s="226"/>
    </row>
    <row r="44" spans="1:12" ht="14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5" spans="1:12" ht="14.25">
      <c r="A45" s="44" t="s">
        <v>633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2" ht="14.2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2" ht="14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</row>
    <row r="48" spans="1:12" ht="14.2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1:12" ht="14.25">
      <c r="A49" s="224" t="s">
        <v>614</v>
      </c>
      <c r="B49" s="224"/>
      <c r="C49" s="225"/>
      <c r="D49" s="225"/>
      <c r="E49" s="225"/>
      <c r="F49" s="39"/>
      <c r="G49" s="225"/>
      <c r="H49" s="225"/>
      <c r="I49" s="39"/>
      <c r="J49" s="225"/>
      <c r="K49" s="225"/>
      <c r="L49" s="225"/>
    </row>
    <row r="50" spans="1:12" ht="14.25">
      <c r="A50" s="39"/>
      <c r="B50" s="39"/>
      <c r="C50" s="226" t="s">
        <v>630</v>
      </c>
      <c r="D50" s="226"/>
      <c r="E50" s="226"/>
      <c r="F50" s="39"/>
      <c r="G50" s="226" t="s">
        <v>631</v>
      </c>
      <c r="H50" s="226"/>
      <c r="I50" s="39"/>
      <c r="J50" s="226" t="s">
        <v>632</v>
      </c>
      <c r="K50" s="226"/>
      <c r="L50" s="226"/>
    </row>
    <row r="51" spans="1:12" ht="14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1:12" ht="14.25">
      <c r="A52" s="44" t="s">
        <v>633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</sheetData>
  <mergeCells count="79">
    <mergeCell ref="A49:B49"/>
    <mergeCell ref="C49:E49"/>
    <mergeCell ref="G49:H49"/>
    <mergeCell ref="J49:L49"/>
    <mergeCell ref="C50:E50"/>
    <mergeCell ref="G50:H50"/>
    <mergeCell ref="J50:L50"/>
    <mergeCell ref="A42:B42"/>
    <mergeCell ref="C42:E42"/>
    <mergeCell ref="G42:H42"/>
    <mergeCell ref="J42:L42"/>
    <mergeCell ref="C43:E43"/>
    <mergeCell ref="G43:H43"/>
    <mergeCell ref="J43:L43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28:A32"/>
    <mergeCell ref="B28:E32"/>
    <mergeCell ref="F28:F32"/>
    <mergeCell ref="G28:L28"/>
    <mergeCell ref="G29:H32"/>
    <mergeCell ref="I29:J32"/>
    <mergeCell ref="K29:L32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C13:G13"/>
    <mergeCell ref="H13:J13"/>
    <mergeCell ref="K13:L13"/>
    <mergeCell ref="E14:H14"/>
    <mergeCell ref="I14:J14"/>
    <mergeCell ref="K14:L1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I5:J5"/>
    <mergeCell ref="K5:L5"/>
    <mergeCell ref="A1:D1"/>
    <mergeCell ref="H1:L1"/>
    <mergeCell ref="H2:L2"/>
    <mergeCell ref="H3:L3"/>
    <mergeCell ref="K4:L4"/>
  </mergeCells>
  <pageMargins left="0.4" right="0.2" top="0.4" bottom="0.4" header="0.2" footer="0.2"/>
  <pageSetup paperSize="9" scale="75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K523"/>
  <sheetViews>
    <sheetView workbookViewId="0">
      <selection activeCell="J8" sqref="J8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41190</v>
      </c>
      <c r="M1">
        <v>10</v>
      </c>
      <c r="N1">
        <v>11</v>
      </c>
      <c r="O1">
        <v>7</v>
      </c>
      <c r="P1">
        <v>0</v>
      </c>
      <c r="Q1">
        <v>3</v>
      </c>
    </row>
    <row r="12" spans="1:133">
      <c r="A12" s="1">
        <v>1</v>
      </c>
      <c r="B12" s="1">
        <v>517</v>
      </c>
      <c r="C12" s="1">
        <v>0</v>
      </c>
      <c r="D12" s="1">
        <f>ROW(A447)</f>
        <v>447</v>
      </c>
      <c r="E12" s="1">
        <v>0</v>
      </c>
      <c r="F12" s="1" t="s">
        <v>4</v>
      </c>
      <c r="G12" s="1" t="s">
        <v>634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6</v>
      </c>
      <c r="CJ12" s="1" t="s">
        <v>6</v>
      </c>
      <c r="CK12" s="1">
        <v>8</v>
      </c>
      <c r="CL12" s="1"/>
      <c r="CM12" s="1"/>
      <c r="CN12" s="1"/>
      <c r="CO12" s="1"/>
      <c r="CP12" s="1"/>
      <c r="CQ12" s="1" t="s">
        <v>438</v>
      </c>
      <c r="CR12" s="1" t="s">
        <v>13</v>
      </c>
      <c r="CS12" s="1">
        <v>45245</v>
      </c>
      <c r="CT12" s="1">
        <v>470</v>
      </c>
      <c r="CU12" s="1"/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>
      <c r="A18" s="2">
        <v>52</v>
      </c>
      <c r="B18" s="2">
        <f t="shared" ref="B18:G18" si="0">B447</f>
        <v>517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Монтаж АИИС КУЭ "Матрица" в ТП-1037</v>
      </c>
      <c r="H18" s="2"/>
      <c r="I18" s="2"/>
      <c r="J18" s="2"/>
      <c r="K18" s="2"/>
      <c r="L18" s="2"/>
      <c r="M18" s="2"/>
      <c r="N18" s="2"/>
      <c r="O18" s="2">
        <f t="shared" ref="O18:AT18" si="1">O447</f>
        <v>3075376.16</v>
      </c>
      <c r="P18" s="2">
        <f t="shared" si="1"/>
        <v>2972330.98</v>
      </c>
      <c r="Q18" s="2">
        <f t="shared" si="1"/>
        <v>5934.66</v>
      </c>
      <c r="R18" s="2">
        <f t="shared" si="1"/>
        <v>2123.54</v>
      </c>
      <c r="S18" s="2">
        <f t="shared" si="1"/>
        <v>94986.98</v>
      </c>
      <c r="T18" s="2">
        <f t="shared" si="1"/>
        <v>0</v>
      </c>
      <c r="U18" s="2">
        <f t="shared" si="1"/>
        <v>291.12199999999996</v>
      </c>
      <c r="V18" s="2">
        <f t="shared" si="1"/>
        <v>13.37956</v>
      </c>
      <c r="W18" s="2">
        <f t="shared" si="1"/>
        <v>0</v>
      </c>
      <c r="X18" s="2">
        <f t="shared" si="1"/>
        <v>91244.9</v>
      </c>
      <c r="Y18" s="2">
        <f t="shared" si="1"/>
        <v>47536.25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3214157.31</v>
      </c>
      <c r="AS18" s="2">
        <f t="shared" si="1"/>
        <v>2957608.93</v>
      </c>
      <c r="AT18" s="2">
        <f t="shared" si="1"/>
        <v>237366.03</v>
      </c>
      <c r="AU18" s="2">
        <f t="shared" ref="AU18:BZ18" si="2">AU447</f>
        <v>19182.349999999999</v>
      </c>
      <c r="AV18" s="2">
        <f t="shared" si="2"/>
        <v>2972330.98</v>
      </c>
      <c r="AW18" s="2">
        <f t="shared" si="2"/>
        <v>2972330.98</v>
      </c>
      <c r="AX18" s="2">
        <f t="shared" si="2"/>
        <v>0</v>
      </c>
      <c r="AY18" s="2">
        <f t="shared" si="2"/>
        <v>2972330.98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>
      <c r="A20" s="1">
        <v>3</v>
      </c>
      <c r="B20" s="1">
        <v>1</v>
      </c>
      <c r="C20" s="1"/>
      <c r="D20" s="1">
        <f>ROW(A405)</f>
        <v>405</v>
      </c>
      <c r="E20" s="1"/>
      <c r="F20" s="1" t="s">
        <v>6</v>
      </c>
      <c r="G20" s="1" t="s">
        <v>14</v>
      </c>
      <c r="H20" s="1" t="s">
        <v>6</v>
      </c>
      <c r="I20" s="1">
        <v>0</v>
      </c>
      <c r="J20" s="1" t="s">
        <v>6</v>
      </c>
      <c r="K20" s="1">
        <v>0</v>
      </c>
      <c r="L20" s="1">
        <v>1</v>
      </c>
      <c r="M20" s="1" t="s">
        <v>6</v>
      </c>
      <c r="N20" s="1"/>
      <c r="O20" s="1"/>
      <c r="P20" s="1"/>
      <c r="Q20" s="1"/>
      <c r="R20" s="1"/>
      <c r="S20" s="1">
        <v>0</v>
      </c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45">
      <c r="A22" s="2">
        <v>52</v>
      </c>
      <c r="B22" s="2">
        <f t="shared" ref="B22:G22" si="7">B405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O405</f>
        <v>3075376.16</v>
      </c>
      <c r="P22" s="2">
        <f t="shared" si="8"/>
        <v>2972330.98</v>
      </c>
      <c r="Q22" s="2">
        <f t="shared" si="8"/>
        <v>5934.66</v>
      </c>
      <c r="R22" s="2">
        <f t="shared" si="8"/>
        <v>2123.54</v>
      </c>
      <c r="S22" s="2">
        <f t="shared" si="8"/>
        <v>94986.98</v>
      </c>
      <c r="T22" s="2">
        <f t="shared" si="8"/>
        <v>0</v>
      </c>
      <c r="U22" s="2">
        <f t="shared" si="8"/>
        <v>291.12199999999996</v>
      </c>
      <c r="V22" s="2">
        <f t="shared" si="8"/>
        <v>13.37956</v>
      </c>
      <c r="W22" s="2">
        <f t="shared" si="8"/>
        <v>0</v>
      </c>
      <c r="X22" s="2">
        <f t="shared" si="8"/>
        <v>91244.9</v>
      </c>
      <c r="Y22" s="2">
        <f t="shared" si="8"/>
        <v>47536.25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3214157.31</v>
      </c>
      <c r="AS22" s="2">
        <f t="shared" si="8"/>
        <v>2957608.93</v>
      </c>
      <c r="AT22" s="2">
        <f t="shared" si="8"/>
        <v>237366.03</v>
      </c>
      <c r="AU22" s="2">
        <f t="shared" ref="AU22:BZ22" si="9">AU405</f>
        <v>19182.349999999999</v>
      </c>
      <c r="AV22" s="2">
        <f t="shared" si="9"/>
        <v>2972330.98</v>
      </c>
      <c r="AW22" s="2">
        <f t="shared" si="9"/>
        <v>2972330.98</v>
      </c>
      <c r="AX22" s="2">
        <f t="shared" si="9"/>
        <v>0</v>
      </c>
      <c r="AY22" s="2">
        <f t="shared" si="9"/>
        <v>2972330.98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CA405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DG405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EM405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FS405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>
      <c r="A24" s="1">
        <v>4</v>
      </c>
      <c r="B24" s="1">
        <v>1</v>
      </c>
      <c r="C24" s="1"/>
      <c r="D24" s="1">
        <f>ROW(A35)</f>
        <v>35</v>
      </c>
      <c r="E24" s="1"/>
      <c r="F24" s="1" t="s">
        <v>15</v>
      </c>
      <c r="G24" s="1" t="s">
        <v>16</v>
      </c>
      <c r="H24" s="1" t="s">
        <v>6</v>
      </c>
      <c r="I24" s="1">
        <v>0</v>
      </c>
      <c r="J24" s="1"/>
      <c r="K24" s="1">
        <v>0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/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Монтаж узла учета 0,23кВ</v>
      </c>
      <c r="H26" s="2"/>
      <c r="I26" s="2"/>
      <c r="J26" s="2"/>
      <c r="K26" s="2"/>
      <c r="L26" s="2"/>
      <c r="M26" s="2"/>
      <c r="N26" s="2"/>
      <c r="O26" s="2">
        <f t="shared" ref="O26:AT26" si="15">O35</f>
        <v>50653.74</v>
      </c>
      <c r="P26" s="2">
        <f t="shared" si="15"/>
        <v>1704.15</v>
      </c>
      <c r="Q26" s="2">
        <f t="shared" si="15"/>
        <v>3837.63</v>
      </c>
      <c r="R26" s="2">
        <f t="shared" si="15"/>
        <v>1360.03</v>
      </c>
      <c r="S26" s="2">
        <f t="shared" si="15"/>
        <v>43751.93</v>
      </c>
      <c r="T26" s="2">
        <f t="shared" si="15"/>
        <v>0</v>
      </c>
      <c r="U26" s="2">
        <f t="shared" si="15"/>
        <v>144.8176</v>
      </c>
      <c r="V26" s="2">
        <f t="shared" si="15"/>
        <v>4.1955600000000004</v>
      </c>
      <c r="W26" s="2">
        <f t="shared" si="15"/>
        <v>0</v>
      </c>
      <c r="X26" s="2">
        <f t="shared" si="15"/>
        <v>43758.6</v>
      </c>
      <c r="Y26" s="2">
        <f t="shared" si="15"/>
        <v>23007.09</v>
      </c>
      <c r="Z26" s="2">
        <f t="shared" si="15"/>
        <v>0</v>
      </c>
      <c r="AA26" s="2">
        <f t="shared" si="15"/>
        <v>0</v>
      </c>
      <c r="AB26" s="2">
        <f t="shared" si="15"/>
        <v>50653.74</v>
      </c>
      <c r="AC26" s="2">
        <f t="shared" si="15"/>
        <v>1704.15</v>
      </c>
      <c r="AD26" s="2">
        <f t="shared" si="15"/>
        <v>3837.63</v>
      </c>
      <c r="AE26" s="2">
        <f t="shared" si="15"/>
        <v>1360.03</v>
      </c>
      <c r="AF26" s="2">
        <f t="shared" si="15"/>
        <v>43751.93</v>
      </c>
      <c r="AG26" s="2">
        <f t="shared" si="15"/>
        <v>0</v>
      </c>
      <c r="AH26" s="2">
        <f t="shared" si="15"/>
        <v>144.8176</v>
      </c>
      <c r="AI26" s="2">
        <f t="shared" si="15"/>
        <v>4.1955600000000004</v>
      </c>
      <c r="AJ26" s="2">
        <f t="shared" si="15"/>
        <v>0</v>
      </c>
      <c r="AK26" s="2">
        <f t="shared" si="15"/>
        <v>43758.6</v>
      </c>
      <c r="AL26" s="2">
        <f t="shared" si="15"/>
        <v>23007.09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117419.43</v>
      </c>
      <c r="AS26" s="2">
        <f t="shared" si="15"/>
        <v>0</v>
      </c>
      <c r="AT26" s="2">
        <f t="shared" si="15"/>
        <v>116544.39</v>
      </c>
      <c r="AU26" s="2">
        <f t="shared" ref="AU26:BZ26" si="16">AU35</f>
        <v>875.04</v>
      </c>
      <c r="AV26" s="2">
        <f t="shared" si="16"/>
        <v>1704.15</v>
      </c>
      <c r="AW26" s="2">
        <f t="shared" si="16"/>
        <v>1704.15</v>
      </c>
      <c r="AX26" s="2">
        <f t="shared" si="16"/>
        <v>0</v>
      </c>
      <c r="AY26" s="2">
        <f t="shared" si="16"/>
        <v>1704.15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117419.43</v>
      </c>
      <c r="CB26" s="2">
        <f t="shared" si="17"/>
        <v>0</v>
      </c>
      <c r="CC26" s="2">
        <f t="shared" si="17"/>
        <v>116544.39</v>
      </c>
      <c r="CD26" s="2">
        <f t="shared" si="17"/>
        <v>875.04</v>
      </c>
      <c r="CE26" s="2">
        <f t="shared" si="17"/>
        <v>1704.15</v>
      </c>
      <c r="CF26" s="2">
        <f t="shared" si="17"/>
        <v>1704.15</v>
      </c>
      <c r="CG26" s="2">
        <f t="shared" si="17"/>
        <v>0</v>
      </c>
      <c r="CH26" s="2">
        <f t="shared" si="17"/>
        <v>1704.15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>
      <c r="A28">
        <v>17</v>
      </c>
      <c r="B28">
        <v>1</v>
      </c>
      <c r="C28">
        <f>ROW(SmtRes!A6)</f>
        <v>6</v>
      </c>
      <c r="D28">
        <f>ROW(EtalonRes!A6)</f>
        <v>6</v>
      </c>
      <c r="E28" t="s">
        <v>17</v>
      </c>
      <c r="F28" t="s">
        <v>18</v>
      </c>
      <c r="G28" t="s">
        <v>19</v>
      </c>
      <c r="H28" t="s">
        <v>20</v>
      </c>
      <c r="I28">
        <v>187</v>
      </c>
      <c r="J28">
        <v>0</v>
      </c>
      <c r="K28">
        <v>187</v>
      </c>
      <c r="O28">
        <f>ROUND(CP28,2)</f>
        <v>22243.5</v>
      </c>
      <c r="P28">
        <f>SUMIF(SmtRes!AQ1:'SmtRes'!AQ6,"=1",SmtRes!DF1:'SmtRes'!DF6)</f>
        <v>829.11</v>
      </c>
      <c r="Q28">
        <f>SUMIF(SmtRes!AQ1:'SmtRes'!AQ6,"=1",SmtRes!DG1:'SmtRes'!DG6)</f>
        <v>3741.48</v>
      </c>
      <c r="R28">
        <f>SUMIF(SmtRes!AQ1:'SmtRes'!AQ6,"=1",SmtRes!DH1:'SmtRes'!DH6)</f>
        <v>1328.21</v>
      </c>
      <c r="S28">
        <f>SUMIF(SmtRes!AQ1:'SmtRes'!AQ6,"=1",SmtRes!DI1:'SmtRes'!DI6)</f>
        <v>16344.7</v>
      </c>
      <c r="T28">
        <f t="shared" ref="T28:T33" si="21">ROUND(CU28*I28,2)</f>
        <v>0</v>
      </c>
      <c r="U28">
        <f>SUMIF(SmtRes!AQ1:'SmtRes'!AQ6,"=1",SmtRes!CV1:'SmtRes'!CV6)</f>
        <v>52.36</v>
      </c>
      <c r="V28">
        <f>SUMIF(SmtRes!AQ1:'SmtRes'!AQ6,"=1",SmtRes!CW1:'SmtRes'!CW6)</f>
        <v>3.74</v>
      </c>
      <c r="W28">
        <f t="shared" ref="W28:W33" si="22">ROUND(CX28*I28,2)</f>
        <v>0</v>
      </c>
      <c r="X28">
        <f t="shared" ref="X28:Y33" si="23">ROUND(CY28,2)</f>
        <v>17142.72</v>
      </c>
      <c r="Y28">
        <f t="shared" si="23"/>
        <v>9013.18</v>
      </c>
      <c r="AA28">
        <v>41853493</v>
      </c>
      <c r="AB28">
        <f t="shared" ref="AB28:AB33" si="24">ROUND((AC28+AD28+AF28),2)</f>
        <v>111.23</v>
      </c>
      <c r="AC28">
        <f>ROUND((SUM(SmtRes!BQ1:'SmtRes'!BQ6)),2)</f>
        <v>3.82</v>
      </c>
      <c r="AD28">
        <f>ROUND((((SUM(SmtRes!BR1:'SmtRes'!BR6))-(SUM(SmtRes!BS1:'SmtRes'!BS6)))+AE28),2)</f>
        <v>20.010000000000002</v>
      </c>
      <c r="AE28">
        <f>ROUND((SUM(SmtRes!BS1:'SmtRes'!BS6)),2)</f>
        <v>7.1</v>
      </c>
      <c r="AF28">
        <f>ROUND((SUM(SmtRes!BT1:'SmtRes'!BT6)),2)</f>
        <v>87.4</v>
      </c>
      <c r="AG28">
        <f t="shared" ref="AG28:AG33" si="25">ROUND((AP28),2)</f>
        <v>0</v>
      </c>
      <c r="AH28">
        <f>(SUM(SmtRes!BU1:'SmtRes'!BU6))</f>
        <v>0.28000000000000003</v>
      </c>
      <c r="AI28">
        <f>(SUM(SmtRes!BV1:'SmtRes'!BV6))</f>
        <v>0.02</v>
      </c>
      <c r="AJ28">
        <f t="shared" ref="AJ28:AJ33" si="26">(AS28)</f>
        <v>0</v>
      </c>
      <c r="AK28">
        <v>118.33758</v>
      </c>
      <c r="AL28">
        <v>3.8221799999999999</v>
      </c>
      <c r="AM28">
        <v>20.007899999999999</v>
      </c>
      <c r="AN28">
        <v>7.1027000000000005</v>
      </c>
      <c r="AO28">
        <v>87.404800000000009</v>
      </c>
      <c r="AP28">
        <v>0</v>
      </c>
      <c r="AQ28">
        <v>0.28000000000000003</v>
      </c>
      <c r="AR28">
        <v>0.02</v>
      </c>
      <c r="AS28">
        <v>0</v>
      </c>
      <c r="AT28">
        <v>97</v>
      </c>
      <c r="AU28">
        <v>51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0</v>
      </c>
      <c r="BI28">
        <v>2</v>
      </c>
      <c r="BJ28" t="s">
        <v>21</v>
      </c>
      <c r="BM28">
        <v>108001</v>
      </c>
      <c r="BN28">
        <v>0</v>
      </c>
      <c r="BO28" t="s">
        <v>6</v>
      </c>
      <c r="BP28">
        <v>0</v>
      </c>
      <c r="BQ28">
        <v>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97</v>
      </c>
      <c r="CA28">
        <v>51</v>
      </c>
      <c r="CB28" t="s">
        <v>6</v>
      </c>
      <c r="CE28">
        <v>0</v>
      </c>
      <c r="CF28">
        <v>0</v>
      </c>
      <c r="CG28">
        <v>0</v>
      </c>
      <c r="CM28">
        <v>0</v>
      </c>
      <c r="CN28" t="s">
        <v>6</v>
      </c>
      <c r="CO28">
        <v>0</v>
      </c>
      <c r="CP28">
        <f>(P28+Q28+S28+R28)</f>
        <v>22243.5</v>
      </c>
      <c r="CQ28">
        <f>SUMIF(SmtRes!AQ1:'SmtRes'!AQ6,"=1",SmtRes!AA1:'SmtRes'!AA6)</f>
        <v>147790.96</v>
      </c>
      <c r="CR28">
        <f>SUMIF(SmtRes!AQ1:'SmtRes'!AQ6,"=1",SmtRes!AB1:'SmtRes'!AB6)</f>
        <v>2000.79</v>
      </c>
      <c r="CS28">
        <f>SUMIF(SmtRes!AQ1:'SmtRes'!AQ6,"=1",SmtRes!AC1:'SmtRes'!AC6)</f>
        <v>710.27</v>
      </c>
      <c r="CT28">
        <f>SUMIF(SmtRes!AQ1:'SmtRes'!AQ6,"=1",SmtRes!AD1:'SmtRes'!AD6)</f>
        <v>312.16000000000003</v>
      </c>
      <c r="CU28">
        <f>AG28</f>
        <v>0</v>
      </c>
      <c r="CV28">
        <f>SUMIF(SmtRes!AQ1:'SmtRes'!AQ6,"=1",SmtRes!BU1:'SmtRes'!BU6)</f>
        <v>0.28000000000000003</v>
      </c>
      <c r="CW28">
        <f>SUMIF(SmtRes!AQ1:'SmtRes'!AQ6,"=1",SmtRes!BV1:'SmtRes'!BV6)</f>
        <v>0.02</v>
      </c>
      <c r="CX28">
        <f>AJ28</f>
        <v>0</v>
      </c>
      <c r="CY28">
        <f>(((S28+R28)*AT28)/100)</f>
        <v>17142.722699999998</v>
      </c>
      <c r="CZ28">
        <f>(((S28+R28)*AU28)/100)</f>
        <v>9013.1841000000004</v>
      </c>
      <c r="DC28" t="s">
        <v>6</v>
      </c>
      <c r="DD28" t="s">
        <v>6</v>
      </c>
      <c r="DE28" t="s">
        <v>6</v>
      </c>
      <c r="DF28" t="s">
        <v>6</v>
      </c>
      <c r="DG28" t="s">
        <v>6</v>
      </c>
      <c r="DH28" t="s">
        <v>6</v>
      </c>
      <c r="DI28" t="s">
        <v>6</v>
      </c>
      <c r="DJ28" t="s">
        <v>6</v>
      </c>
      <c r="DK28" t="s">
        <v>6</v>
      </c>
      <c r="DL28" t="s">
        <v>6</v>
      </c>
      <c r="DM28" t="s">
        <v>6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20</v>
      </c>
      <c r="DW28" t="s">
        <v>20</v>
      </c>
      <c r="DX28">
        <v>1</v>
      </c>
      <c r="DZ28" t="s">
        <v>6</v>
      </c>
      <c r="EA28" t="s">
        <v>6</v>
      </c>
      <c r="EB28" t="s">
        <v>6</v>
      </c>
      <c r="EC28" t="s">
        <v>6</v>
      </c>
      <c r="EE28">
        <v>40604465</v>
      </c>
      <c r="EF28">
        <v>3</v>
      </c>
      <c r="EG28" t="s">
        <v>22</v>
      </c>
      <c r="EH28">
        <v>0</v>
      </c>
      <c r="EI28" t="s">
        <v>6</v>
      </c>
      <c r="EJ28">
        <v>2</v>
      </c>
      <c r="EK28">
        <v>108001</v>
      </c>
      <c r="EL28" t="s">
        <v>23</v>
      </c>
      <c r="EM28" t="s">
        <v>24</v>
      </c>
      <c r="EO28" t="s">
        <v>6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0.28000000000000003</v>
      </c>
      <c r="EX28">
        <v>0.02</v>
      </c>
      <c r="EY28">
        <v>0</v>
      </c>
      <c r="FQ28">
        <v>0</v>
      </c>
      <c r="FR28">
        <f t="shared" ref="FR28:FR33" si="27">ROUND(IF(BI28=3,GM28,0),2)</f>
        <v>0</v>
      </c>
      <c r="FS28">
        <v>0</v>
      </c>
      <c r="FX28">
        <v>97</v>
      </c>
      <c r="FY28">
        <v>51</v>
      </c>
      <c r="GA28" t="s">
        <v>6</v>
      </c>
      <c r="GD28">
        <v>1</v>
      </c>
      <c r="GF28">
        <v>10105887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33" si="28">ROUND(IF(AND(BH28=3,BI28=3,FS28&lt;&gt;0),P28,0),2)</f>
        <v>0</v>
      </c>
      <c r="GM28">
        <f t="shared" ref="GM28:GM33" si="29">ROUND(O28+X28+Y28,2)+GX28</f>
        <v>48399.4</v>
      </c>
      <c r="GN28">
        <f t="shared" ref="GN28:GN33" si="30">IF(OR(BI28=0,BI28=1),GM28,0)</f>
        <v>0</v>
      </c>
      <c r="GO28">
        <f t="shared" ref="GO28:GO33" si="31">IF(BI28=2,GM28,0)</f>
        <v>48399.4</v>
      </c>
      <c r="GP28">
        <f t="shared" ref="GP28:GP33" si="32">IF(BI28=4,GM28+GX28,0)</f>
        <v>0</v>
      </c>
      <c r="GR28">
        <v>0</v>
      </c>
      <c r="GS28">
        <v>3</v>
      </c>
      <c r="GT28">
        <v>0</v>
      </c>
      <c r="GU28" t="s">
        <v>6</v>
      </c>
      <c r="GV28">
        <f t="shared" ref="GV28:GV33" si="33">ROUND((GT28),2)</f>
        <v>0</v>
      </c>
      <c r="GW28">
        <v>1</v>
      </c>
      <c r="GX28">
        <f t="shared" ref="GX28:GX33" si="34">ROUND(HC28*I28,2)</f>
        <v>0</v>
      </c>
      <c r="HA28">
        <v>0</v>
      </c>
      <c r="HB28">
        <v>0</v>
      </c>
      <c r="HC28">
        <f>GV28*GW28</f>
        <v>0</v>
      </c>
      <c r="HE28" t="s">
        <v>6</v>
      </c>
      <c r="HF28" t="s">
        <v>6</v>
      </c>
      <c r="HM28" t="s">
        <v>6</v>
      </c>
      <c r="HN28" t="s">
        <v>25</v>
      </c>
      <c r="HO28" t="s">
        <v>26</v>
      </c>
      <c r="HP28" t="s">
        <v>23</v>
      </c>
      <c r="HQ28" t="s">
        <v>23</v>
      </c>
      <c r="IK28">
        <v>0</v>
      </c>
    </row>
    <row r="29" spans="1:245">
      <c r="A29">
        <v>18</v>
      </c>
      <c r="B29">
        <v>1</v>
      </c>
      <c r="C29">
        <v>6</v>
      </c>
      <c r="E29" t="s">
        <v>27</v>
      </c>
      <c r="F29" t="s">
        <v>28</v>
      </c>
      <c r="G29" t="s">
        <v>29</v>
      </c>
      <c r="H29" t="s">
        <v>30</v>
      </c>
      <c r="I29">
        <f>J29</f>
        <v>2</v>
      </c>
      <c r="J29">
        <v>2</v>
      </c>
      <c r="K29">
        <v>2</v>
      </c>
      <c r="O29">
        <f>ROUND(P29,2)</f>
        <v>326.89</v>
      </c>
      <c r="P29">
        <f>ROUND(ROUND(ROUND(SUMIF(SmtRes!AQ1:'SmtRes'!AQ6,"=1",SmtRes!CU1:'SmtRes'!CU6),2),2)*I29/100,2)</f>
        <v>326.89</v>
      </c>
      <c r="Q29">
        <f>ROUND(CR29*I29,2)</f>
        <v>0</v>
      </c>
      <c r="R29">
        <f>ROUND(CS29*I29,2)</f>
        <v>0</v>
      </c>
      <c r="S29">
        <f>ROUND(CT29*I29,2)</f>
        <v>0</v>
      </c>
      <c r="T29">
        <f t="shared" si="21"/>
        <v>0</v>
      </c>
      <c r="U29">
        <f>CV29*I29</f>
        <v>0</v>
      </c>
      <c r="V29">
        <f>CW29*I29</f>
        <v>0</v>
      </c>
      <c r="W29">
        <f t="shared" si="22"/>
        <v>0</v>
      </c>
      <c r="X29">
        <f t="shared" si="23"/>
        <v>0</v>
      </c>
      <c r="Y29">
        <f t="shared" si="23"/>
        <v>0</v>
      </c>
      <c r="AA29">
        <v>41853493</v>
      </c>
      <c r="AB29">
        <f t="shared" si="24"/>
        <v>0</v>
      </c>
      <c r="AC29">
        <f>ROUND((ES29),2)</f>
        <v>0</v>
      </c>
      <c r="AD29">
        <f>ROUND((((ET29)-(EU29))+AE29),2)</f>
        <v>0</v>
      </c>
      <c r="AE29">
        <f>ROUND((EU29),2)</f>
        <v>0</v>
      </c>
      <c r="AF29">
        <f>ROUND((EV29),2)</f>
        <v>0</v>
      </c>
      <c r="AG29">
        <f t="shared" si="25"/>
        <v>0</v>
      </c>
      <c r="AH29">
        <f>(EW29)</f>
        <v>0</v>
      </c>
      <c r="AI29">
        <f>(EX29)</f>
        <v>0</v>
      </c>
      <c r="AJ29">
        <f t="shared" si="26"/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3</v>
      </c>
      <c r="BI29">
        <v>4</v>
      </c>
      <c r="BJ29" t="s">
        <v>6</v>
      </c>
      <c r="BM29">
        <v>0</v>
      </c>
      <c r="BN29">
        <v>0</v>
      </c>
      <c r="BO29" t="s">
        <v>6</v>
      </c>
      <c r="BP29">
        <v>0</v>
      </c>
      <c r="BQ29">
        <v>16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0</v>
      </c>
      <c r="CA29">
        <v>0</v>
      </c>
      <c r="CB29" t="s">
        <v>6</v>
      </c>
      <c r="CE29">
        <v>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>0</f>
        <v>0</v>
      </c>
      <c r="CQ29">
        <f>0</f>
        <v>0</v>
      </c>
      <c r="CR29">
        <f>0</f>
        <v>0</v>
      </c>
      <c r="CS29">
        <f>0</f>
        <v>0</v>
      </c>
      <c r="CT29">
        <f>0</f>
        <v>0</v>
      </c>
      <c r="CU29">
        <f>0</f>
        <v>0</v>
      </c>
      <c r="CV29">
        <f>0</f>
        <v>0</v>
      </c>
      <c r="CW29">
        <f>0</f>
        <v>0</v>
      </c>
      <c r="CX29">
        <f>0</f>
        <v>0</v>
      </c>
      <c r="CY29">
        <f>0</f>
        <v>0</v>
      </c>
      <c r="CZ29">
        <f>0</f>
        <v>0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30</v>
      </c>
      <c r="DW29" t="s">
        <v>30</v>
      </c>
      <c r="DX29">
        <v>1</v>
      </c>
      <c r="DZ29" t="s">
        <v>6</v>
      </c>
      <c r="EA29" t="s">
        <v>6</v>
      </c>
      <c r="EB29" t="s">
        <v>6</v>
      </c>
      <c r="EC29" t="s">
        <v>6</v>
      </c>
      <c r="EE29">
        <v>40604523</v>
      </c>
      <c r="EF29">
        <v>16</v>
      </c>
      <c r="EG29" t="s">
        <v>31</v>
      </c>
      <c r="EH29">
        <v>0</v>
      </c>
      <c r="EI29" t="s">
        <v>6</v>
      </c>
      <c r="EJ29">
        <v>4</v>
      </c>
      <c r="EK29">
        <v>0</v>
      </c>
      <c r="EL29" t="s">
        <v>32</v>
      </c>
      <c r="EM29" t="s">
        <v>33</v>
      </c>
      <c r="EO29" t="s">
        <v>6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27"/>
        <v>0</v>
      </c>
      <c r="FS29">
        <v>0</v>
      </c>
      <c r="FX29">
        <v>0</v>
      </c>
      <c r="FY29">
        <v>0</v>
      </c>
      <c r="GA29" t="s">
        <v>6</v>
      </c>
      <c r="GD29">
        <v>1</v>
      </c>
      <c r="GF29">
        <v>274903907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28"/>
        <v>0</v>
      </c>
      <c r="GM29">
        <f t="shared" si="29"/>
        <v>326.89</v>
      </c>
      <c r="GN29">
        <f t="shared" si="30"/>
        <v>0</v>
      </c>
      <c r="GO29">
        <f t="shared" si="31"/>
        <v>0</v>
      </c>
      <c r="GP29">
        <f t="shared" si="32"/>
        <v>326.89</v>
      </c>
      <c r="GR29">
        <v>0</v>
      </c>
      <c r="GS29">
        <v>3</v>
      </c>
      <c r="GT29">
        <v>0</v>
      </c>
      <c r="GU29" t="s">
        <v>6</v>
      </c>
      <c r="GV29">
        <f t="shared" si="33"/>
        <v>0</v>
      </c>
      <c r="GW29">
        <v>1</v>
      </c>
      <c r="GX29">
        <f t="shared" si="34"/>
        <v>0</v>
      </c>
      <c r="HA29">
        <v>0</v>
      </c>
      <c r="HB29">
        <v>0</v>
      </c>
      <c r="HC29">
        <f>0</f>
        <v>0</v>
      </c>
      <c r="HE29" t="s">
        <v>6</v>
      </c>
      <c r="HF29" t="s">
        <v>6</v>
      </c>
      <c r="HM29" t="s">
        <v>6</v>
      </c>
      <c r="HN29" t="s">
        <v>6</v>
      </c>
      <c r="HO29" t="s">
        <v>6</v>
      </c>
      <c r="HP29" t="s">
        <v>6</v>
      </c>
      <c r="HQ29" t="s">
        <v>6</v>
      </c>
      <c r="IK29">
        <v>0</v>
      </c>
    </row>
    <row r="30" spans="1:245">
      <c r="A30">
        <v>17</v>
      </c>
      <c r="B30">
        <v>1</v>
      </c>
      <c r="C30">
        <f>ROW(SmtRes!A18)</f>
        <v>18</v>
      </c>
      <c r="D30">
        <f>ROW(EtalonRes!A18)</f>
        <v>18</v>
      </c>
      <c r="E30" t="s">
        <v>34</v>
      </c>
      <c r="F30" t="s">
        <v>35</v>
      </c>
      <c r="G30" t="s">
        <v>36</v>
      </c>
      <c r="H30" t="s">
        <v>37</v>
      </c>
      <c r="I30">
        <v>2.8000000000000001E-2</v>
      </c>
      <c r="J30">
        <v>0</v>
      </c>
      <c r="K30">
        <v>2.8000000000000001E-2</v>
      </c>
      <c r="O30">
        <f>ROUND(CP30,2)</f>
        <v>582.88</v>
      </c>
      <c r="P30">
        <f>SUMIF(SmtRes!AQ7:'SmtRes'!AQ18,"=1",SmtRes!DF7:'SmtRes'!DF18)</f>
        <v>0</v>
      </c>
      <c r="Q30">
        <f>SUMIF(SmtRes!AQ7:'SmtRes'!AQ18,"=1",SmtRes!DG7:'SmtRes'!DG18)</f>
        <v>96.15</v>
      </c>
      <c r="R30">
        <f>SUMIF(SmtRes!AQ7:'SmtRes'!AQ18,"=1",SmtRes!DH7:'SmtRes'!DH18)</f>
        <v>31.82</v>
      </c>
      <c r="S30">
        <f>SUMIF(SmtRes!AQ7:'SmtRes'!AQ18,"=1",SmtRes!DI7:'SmtRes'!DI18)</f>
        <v>454.91</v>
      </c>
      <c r="T30">
        <f t="shared" si="21"/>
        <v>0</v>
      </c>
      <c r="U30">
        <f>SUMIF(SmtRes!AQ7:'SmtRes'!AQ18,"=1",SmtRes!CV7:'SmtRes'!CV18)</f>
        <v>1.5007999999999999</v>
      </c>
      <c r="V30">
        <f>SUMIF(SmtRes!AQ7:'SmtRes'!AQ18,"=1",SmtRes!CW7:'SmtRes'!CW18)</f>
        <v>0.45556000000000002</v>
      </c>
      <c r="W30">
        <f t="shared" si="22"/>
        <v>0</v>
      </c>
      <c r="X30">
        <f t="shared" si="23"/>
        <v>472.13</v>
      </c>
      <c r="Y30">
        <f t="shared" si="23"/>
        <v>248.23</v>
      </c>
      <c r="AA30">
        <v>41853493</v>
      </c>
      <c r="AB30">
        <f t="shared" si="24"/>
        <v>19680.349999999999</v>
      </c>
      <c r="AC30">
        <f>ROUND((0),2)</f>
        <v>0</v>
      </c>
      <c r="AD30">
        <f>ROUND((((SUM(SmtRes!BR7:'SmtRes'!BR18))-(SUM(SmtRes!BS7:'SmtRes'!BS18)))+AE30),2)</f>
        <v>3433.65</v>
      </c>
      <c r="AE30">
        <f>ROUND((SUM(SmtRes!BS7:'SmtRes'!BS18)),2)</f>
        <v>1136.43</v>
      </c>
      <c r="AF30">
        <f>ROUND((SUM(SmtRes!BT7:'SmtRes'!BT18)),2)</f>
        <v>16246.7</v>
      </c>
      <c r="AG30">
        <f t="shared" si="25"/>
        <v>0</v>
      </c>
      <c r="AH30">
        <f>(SUM(SmtRes!BU7:'SmtRes'!BU18))</f>
        <v>53.6</v>
      </c>
      <c r="AI30">
        <f>(SUM(SmtRes!BV7:'SmtRes'!BV18))</f>
        <v>3.2</v>
      </c>
      <c r="AJ30">
        <f t="shared" si="26"/>
        <v>0</v>
      </c>
      <c r="AK30">
        <v>132961.6654</v>
      </c>
      <c r="AL30">
        <v>112144.8888</v>
      </c>
      <c r="AM30">
        <v>3433.6486</v>
      </c>
      <c r="AN30">
        <v>1136.4320000000002</v>
      </c>
      <c r="AO30">
        <v>16246.696000000002</v>
      </c>
      <c r="AP30">
        <v>0</v>
      </c>
      <c r="AQ30">
        <v>53.6</v>
      </c>
      <c r="AR30">
        <v>3.2</v>
      </c>
      <c r="AS30">
        <v>0</v>
      </c>
      <c r="AT30">
        <v>97</v>
      </c>
      <c r="AU30">
        <v>51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0</v>
      </c>
      <c r="BI30">
        <v>2</v>
      </c>
      <c r="BJ30" t="s">
        <v>38</v>
      </c>
      <c r="BM30">
        <v>108001</v>
      </c>
      <c r="BN30">
        <v>0</v>
      </c>
      <c r="BO30" t="s">
        <v>6</v>
      </c>
      <c r="BP30">
        <v>0</v>
      </c>
      <c r="BQ30">
        <v>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97</v>
      </c>
      <c r="CA30">
        <v>51</v>
      </c>
      <c r="CB30" t="s">
        <v>6</v>
      </c>
      <c r="CE30">
        <v>0</v>
      </c>
      <c r="CF30">
        <v>0</v>
      </c>
      <c r="CG30">
        <v>0</v>
      </c>
      <c r="CM30">
        <v>0</v>
      </c>
      <c r="CN30" t="s">
        <v>6</v>
      </c>
      <c r="CO30">
        <v>0</v>
      </c>
      <c r="CP30">
        <f>(P30+Q30+S30+R30)</f>
        <v>582.88000000000011</v>
      </c>
      <c r="CQ30">
        <f>SUMIF(SmtRes!AQ7:'SmtRes'!AQ18,"=1",SmtRes!AA7:'SmtRes'!AA18)</f>
        <v>125145.98999999999</v>
      </c>
      <c r="CR30">
        <f>SUMIF(SmtRes!AQ7:'SmtRes'!AQ18,"=1",SmtRes!AB7:'SmtRes'!AB18)</f>
        <v>2018.57</v>
      </c>
      <c r="CS30">
        <f>SUMIF(SmtRes!AQ7:'SmtRes'!AQ18,"=1",SmtRes!AC7:'SmtRes'!AC18)</f>
        <v>710.27</v>
      </c>
      <c r="CT30">
        <f>SUMIF(SmtRes!AQ7:'SmtRes'!AQ18,"=1",SmtRes!AD7:'SmtRes'!AD18)</f>
        <v>303.11</v>
      </c>
      <c r="CU30">
        <f>AG30</f>
        <v>0</v>
      </c>
      <c r="CV30">
        <f>SUMIF(SmtRes!AQ7:'SmtRes'!AQ18,"=1",SmtRes!BU7:'SmtRes'!BU18)</f>
        <v>53.6</v>
      </c>
      <c r="CW30">
        <f>SUMIF(SmtRes!AQ7:'SmtRes'!AQ18,"=1",SmtRes!BV7:'SmtRes'!BV18)</f>
        <v>3.2</v>
      </c>
      <c r="CX30">
        <f>AJ30</f>
        <v>0</v>
      </c>
      <c r="CY30">
        <f>(((S30+R30)*AT30)/100)</f>
        <v>472.12810000000007</v>
      </c>
      <c r="CZ30">
        <f>(((S30+R30)*AU30)/100)</f>
        <v>248.23230000000001</v>
      </c>
      <c r="DC30" t="s">
        <v>6</v>
      </c>
      <c r="DD30" t="s">
        <v>39</v>
      </c>
      <c r="DE30" t="s">
        <v>6</v>
      </c>
      <c r="DF30" t="s">
        <v>6</v>
      </c>
      <c r="DG30" t="s">
        <v>6</v>
      </c>
      <c r="DH30" t="s">
        <v>6</v>
      </c>
      <c r="DI30" t="s">
        <v>6</v>
      </c>
      <c r="DJ30" t="s">
        <v>6</v>
      </c>
      <c r="DK30" t="s">
        <v>6</v>
      </c>
      <c r="DL30" t="s">
        <v>6</v>
      </c>
      <c r="DM30" t="s">
        <v>6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37</v>
      </c>
      <c r="DW30" t="s">
        <v>37</v>
      </c>
      <c r="DX30">
        <v>1000</v>
      </c>
      <c r="DZ30" t="s">
        <v>6</v>
      </c>
      <c r="EA30" t="s">
        <v>6</v>
      </c>
      <c r="EB30" t="s">
        <v>6</v>
      </c>
      <c r="EC30" t="s">
        <v>6</v>
      </c>
      <c r="EE30">
        <v>40604465</v>
      </c>
      <c r="EF30">
        <v>3</v>
      </c>
      <c r="EG30" t="s">
        <v>22</v>
      </c>
      <c r="EH30">
        <v>0</v>
      </c>
      <c r="EI30" t="s">
        <v>6</v>
      </c>
      <c r="EJ30">
        <v>2</v>
      </c>
      <c r="EK30">
        <v>108001</v>
      </c>
      <c r="EL30" t="s">
        <v>23</v>
      </c>
      <c r="EM30" t="s">
        <v>24</v>
      </c>
      <c r="EO30" t="s">
        <v>6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53.6</v>
      </c>
      <c r="EX30">
        <v>3.2</v>
      </c>
      <c r="EY30">
        <v>0</v>
      </c>
      <c r="FQ30">
        <v>0</v>
      </c>
      <c r="FR30">
        <f t="shared" si="27"/>
        <v>0</v>
      </c>
      <c r="FS30">
        <v>0</v>
      </c>
      <c r="FX30">
        <v>97</v>
      </c>
      <c r="FY30">
        <v>51</v>
      </c>
      <c r="GA30" t="s">
        <v>6</v>
      </c>
      <c r="GD30">
        <v>1</v>
      </c>
      <c r="GF30">
        <v>-1741191218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28"/>
        <v>0</v>
      </c>
      <c r="GM30">
        <f t="shared" si="29"/>
        <v>1303.24</v>
      </c>
      <c r="GN30">
        <f t="shared" si="30"/>
        <v>0</v>
      </c>
      <c r="GO30">
        <f t="shared" si="31"/>
        <v>1303.24</v>
      </c>
      <c r="GP30">
        <f t="shared" si="32"/>
        <v>0</v>
      </c>
      <c r="GR30">
        <v>0</v>
      </c>
      <c r="GS30">
        <v>3</v>
      </c>
      <c r="GT30">
        <v>0</v>
      </c>
      <c r="GU30" t="s">
        <v>6</v>
      </c>
      <c r="GV30">
        <f t="shared" si="33"/>
        <v>0</v>
      </c>
      <c r="GW30">
        <v>1</v>
      </c>
      <c r="GX30">
        <f t="shared" si="34"/>
        <v>0</v>
      </c>
      <c r="HA30">
        <v>0</v>
      </c>
      <c r="HB30">
        <v>0</v>
      </c>
      <c r="HC30">
        <f>GV30*GW30</f>
        <v>0</v>
      </c>
      <c r="HE30" t="s">
        <v>6</v>
      </c>
      <c r="HF30" t="s">
        <v>6</v>
      </c>
      <c r="HM30" t="s">
        <v>6</v>
      </c>
      <c r="HN30" t="s">
        <v>25</v>
      </c>
      <c r="HO30" t="s">
        <v>26</v>
      </c>
      <c r="HP30" t="s">
        <v>23</v>
      </c>
      <c r="HQ30" t="s">
        <v>23</v>
      </c>
      <c r="IK30">
        <v>0</v>
      </c>
    </row>
    <row r="31" spans="1:245">
      <c r="A31">
        <v>18</v>
      </c>
      <c r="B31">
        <v>1</v>
      </c>
      <c r="C31">
        <v>18</v>
      </c>
      <c r="E31" t="s">
        <v>40</v>
      </c>
      <c r="F31" t="s">
        <v>28</v>
      </c>
      <c r="G31" t="s">
        <v>29</v>
      </c>
      <c r="H31" t="s">
        <v>30</v>
      </c>
      <c r="I31">
        <f>J31</f>
        <v>2</v>
      </c>
      <c r="J31">
        <v>2</v>
      </c>
      <c r="K31">
        <v>2</v>
      </c>
      <c r="O31">
        <f>ROUND(P31,2)</f>
        <v>9.1</v>
      </c>
      <c r="P31">
        <f>ROUND(ROUND(ROUND(SUMIF(SmtRes!AQ7:'SmtRes'!AQ18,"=1",SmtRes!CU7:'SmtRes'!CU18),2),2)*I31/100,2)</f>
        <v>9.1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 t="shared" si="21"/>
        <v>0</v>
      </c>
      <c r="U31">
        <f>CV31*I31</f>
        <v>0</v>
      </c>
      <c r="V31">
        <f>CW31*I31</f>
        <v>0</v>
      </c>
      <c r="W31">
        <f t="shared" si="22"/>
        <v>0</v>
      </c>
      <c r="X31">
        <f t="shared" si="23"/>
        <v>0</v>
      </c>
      <c r="Y31">
        <f t="shared" si="23"/>
        <v>0</v>
      </c>
      <c r="AA31">
        <v>41853493</v>
      </c>
      <c r="AB31">
        <f t="shared" si="24"/>
        <v>0</v>
      </c>
      <c r="AC31">
        <f>ROUND((ES31),2)</f>
        <v>0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 t="shared" si="25"/>
        <v>0</v>
      </c>
      <c r="AH31">
        <f>(EW31)</f>
        <v>0</v>
      </c>
      <c r="AI31">
        <f>(EX31)</f>
        <v>0</v>
      </c>
      <c r="AJ31">
        <f t="shared" si="26"/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4</v>
      </c>
      <c r="BJ31" t="s">
        <v>6</v>
      </c>
      <c r="BM31">
        <v>0</v>
      </c>
      <c r="BN31">
        <v>0</v>
      </c>
      <c r="BO31" t="s">
        <v>6</v>
      </c>
      <c r="BP31">
        <v>0</v>
      </c>
      <c r="BQ31">
        <v>16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B31" t="s">
        <v>6</v>
      </c>
      <c r="CE31">
        <v>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>0</f>
        <v>0</v>
      </c>
      <c r="CQ31">
        <f>0</f>
        <v>0</v>
      </c>
      <c r="CR31">
        <f>0</f>
        <v>0</v>
      </c>
      <c r="CS31">
        <f>0</f>
        <v>0</v>
      </c>
      <c r="CT31">
        <f>0</f>
        <v>0</v>
      </c>
      <c r="CU31">
        <f>0</f>
        <v>0</v>
      </c>
      <c r="CV31">
        <f>0</f>
        <v>0</v>
      </c>
      <c r="CW31">
        <f>0</f>
        <v>0</v>
      </c>
      <c r="CX31">
        <f>0</f>
        <v>0</v>
      </c>
      <c r="CY31">
        <f>0</f>
        <v>0</v>
      </c>
      <c r="CZ31">
        <f>0</f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30</v>
      </c>
      <c r="DW31" t="s">
        <v>30</v>
      </c>
      <c r="DX31">
        <v>1</v>
      </c>
      <c r="DZ31" t="s">
        <v>6</v>
      </c>
      <c r="EA31" t="s">
        <v>6</v>
      </c>
      <c r="EB31" t="s">
        <v>6</v>
      </c>
      <c r="EC31" t="s">
        <v>6</v>
      </c>
      <c r="EE31">
        <v>40604523</v>
      </c>
      <c r="EF31">
        <v>16</v>
      </c>
      <c r="EG31" t="s">
        <v>31</v>
      </c>
      <c r="EH31">
        <v>0</v>
      </c>
      <c r="EI31" t="s">
        <v>6</v>
      </c>
      <c r="EJ31">
        <v>4</v>
      </c>
      <c r="EK31">
        <v>0</v>
      </c>
      <c r="EL31" t="s">
        <v>32</v>
      </c>
      <c r="EM31" t="s">
        <v>33</v>
      </c>
      <c r="EO31" t="s">
        <v>6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27"/>
        <v>0</v>
      </c>
      <c r="FS31">
        <v>0</v>
      </c>
      <c r="FX31">
        <v>0</v>
      </c>
      <c r="FY31">
        <v>0</v>
      </c>
      <c r="GA31" t="s">
        <v>6</v>
      </c>
      <c r="GD31">
        <v>1</v>
      </c>
      <c r="GF31">
        <v>274903907</v>
      </c>
      <c r="GG31">
        <v>2</v>
      </c>
      <c r="GH31">
        <v>1</v>
      </c>
      <c r="GI31">
        <v>-2</v>
      </c>
      <c r="GJ31">
        <v>0</v>
      </c>
      <c r="GK31">
        <v>0</v>
      </c>
      <c r="GL31">
        <f t="shared" si="28"/>
        <v>0</v>
      </c>
      <c r="GM31">
        <f t="shared" si="29"/>
        <v>9.1</v>
      </c>
      <c r="GN31">
        <f t="shared" si="30"/>
        <v>0</v>
      </c>
      <c r="GO31">
        <f t="shared" si="31"/>
        <v>0</v>
      </c>
      <c r="GP31">
        <f t="shared" si="32"/>
        <v>9.1</v>
      </c>
      <c r="GR31">
        <v>0</v>
      </c>
      <c r="GS31">
        <v>3</v>
      </c>
      <c r="GT31">
        <v>0</v>
      </c>
      <c r="GU31" t="s">
        <v>6</v>
      </c>
      <c r="GV31">
        <f t="shared" si="33"/>
        <v>0</v>
      </c>
      <c r="GW31">
        <v>1</v>
      </c>
      <c r="GX31">
        <f t="shared" si="34"/>
        <v>0</v>
      </c>
      <c r="HA31">
        <v>0</v>
      </c>
      <c r="HB31">
        <v>0</v>
      </c>
      <c r="HC31">
        <f>0</f>
        <v>0</v>
      </c>
      <c r="HE31" t="s">
        <v>6</v>
      </c>
      <c r="HF31" t="s">
        <v>6</v>
      </c>
      <c r="HM31" t="s">
        <v>6</v>
      </c>
      <c r="HN31" t="s">
        <v>6</v>
      </c>
      <c r="HO31" t="s">
        <v>6</v>
      </c>
      <c r="HP31" t="s">
        <v>6</v>
      </c>
      <c r="HQ31" t="s">
        <v>6</v>
      </c>
      <c r="IK31">
        <v>0</v>
      </c>
    </row>
    <row r="32" spans="1:245">
      <c r="A32">
        <v>17</v>
      </c>
      <c r="B32">
        <v>1</v>
      </c>
      <c r="C32">
        <f>ROW(SmtRes!A20)</f>
        <v>20</v>
      </c>
      <c r="D32">
        <f>ROW(EtalonRes!A20)</f>
        <v>20</v>
      </c>
      <c r="E32" t="s">
        <v>41</v>
      </c>
      <c r="F32" t="s">
        <v>42</v>
      </c>
      <c r="G32" t="s">
        <v>43</v>
      </c>
      <c r="H32" t="s">
        <v>44</v>
      </c>
      <c r="I32">
        <f>ROUND(748/100,7)</f>
        <v>7.48</v>
      </c>
      <c r="J32">
        <v>0</v>
      </c>
      <c r="K32">
        <f>ROUND(748/100,7)</f>
        <v>7.48</v>
      </c>
      <c r="O32">
        <f>ROUND(CP32,2)</f>
        <v>26952.32</v>
      </c>
      <c r="P32">
        <f>SUMIF(SmtRes!AQ19:'SmtRes'!AQ20,"=1",SmtRes!DF19:'SmtRes'!DF20)</f>
        <v>0</v>
      </c>
      <c r="Q32">
        <f>SUMIF(SmtRes!AQ19:'SmtRes'!AQ20,"=1",SmtRes!DG19:'SmtRes'!DG20)</f>
        <v>0</v>
      </c>
      <c r="R32">
        <f>SUMIF(SmtRes!AQ19:'SmtRes'!AQ20,"=1",SmtRes!DH19:'SmtRes'!DH20)</f>
        <v>0</v>
      </c>
      <c r="S32">
        <f>SUMIF(SmtRes!AQ19:'SmtRes'!AQ20,"=1",SmtRes!DI19:'SmtRes'!DI20)</f>
        <v>26952.32</v>
      </c>
      <c r="T32">
        <f t="shared" si="21"/>
        <v>0</v>
      </c>
      <c r="U32">
        <f>SUMIF(SmtRes!AQ19:'SmtRes'!AQ20,"=1",SmtRes!CV19:'SmtRes'!CV20)</f>
        <v>90.956800000000001</v>
      </c>
      <c r="V32">
        <f>SUMIF(SmtRes!AQ19:'SmtRes'!AQ20,"=1",SmtRes!CW19:'SmtRes'!CW20)</f>
        <v>0</v>
      </c>
      <c r="W32">
        <f t="shared" si="22"/>
        <v>0</v>
      </c>
      <c r="X32">
        <f t="shared" si="23"/>
        <v>26143.75</v>
      </c>
      <c r="Y32">
        <f t="shared" si="23"/>
        <v>13745.68</v>
      </c>
      <c r="AA32">
        <v>41853493</v>
      </c>
      <c r="AB32">
        <f t="shared" si="24"/>
        <v>3603.25</v>
      </c>
      <c r="AC32">
        <f>ROUND((0),2)</f>
        <v>0</v>
      </c>
      <c r="AD32">
        <f>ROUND((((0)-(0))+AE32),2)</f>
        <v>0</v>
      </c>
      <c r="AE32">
        <f>ROUND((0),2)</f>
        <v>0</v>
      </c>
      <c r="AF32">
        <f>ROUND((SUM(SmtRes!BT19:'SmtRes'!BT20)),2)</f>
        <v>3603.25</v>
      </c>
      <c r="AG32">
        <f t="shared" si="25"/>
        <v>0</v>
      </c>
      <c r="AH32">
        <f>(SUM(SmtRes!BU19:'SmtRes'!BU20))</f>
        <v>12.16</v>
      </c>
      <c r="AI32">
        <f>(0)</f>
        <v>0</v>
      </c>
      <c r="AJ32">
        <f t="shared" si="26"/>
        <v>0</v>
      </c>
      <c r="AK32">
        <v>3603.2512000000002</v>
      </c>
      <c r="AL32">
        <v>0</v>
      </c>
      <c r="AM32">
        <v>0</v>
      </c>
      <c r="AN32">
        <v>0</v>
      </c>
      <c r="AO32">
        <v>3603.2512000000002</v>
      </c>
      <c r="AP32">
        <v>0</v>
      </c>
      <c r="AQ32">
        <v>12.16</v>
      </c>
      <c r="AR32">
        <v>0</v>
      </c>
      <c r="AS32">
        <v>0</v>
      </c>
      <c r="AT32">
        <v>97</v>
      </c>
      <c r="AU32">
        <v>51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0</v>
      </c>
      <c r="BI32">
        <v>2</v>
      </c>
      <c r="BJ32" t="s">
        <v>45</v>
      </c>
      <c r="BM32">
        <v>108001</v>
      </c>
      <c r="BN32">
        <v>0</v>
      </c>
      <c r="BO32" t="s">
        <v>6</v>
      </c>
      <c r="BP32">
        <v>0</v>
      </c>
      <c r="BQ32">
        <v>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97</v>
      </c>
      <c r="CA32">
        <v>51</v>
      </c>
      <c r="CB32" t="s">
        <v>6</v>
      </c>
      <c r="CE32">
        <v>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>(P32+Q32+S32+R32)</f>
        <v>26952.32</v>
      </c>
      <c r="CQ32">
        <f>SUMIF(SmtRes!AQ19:'SmtRes'!AQ20,"=1",SmtRes!AA19:'SmtRes'!AA20)</f>
        <v>0</v>
      </c>
      <c r="CR32">
        <f>SUMIF(SmtRes!AQ19:'SmtRes'!AQ20,"=1",SmtRes!AB19:'SmtRes'!AB20)</f>
        <v>0</v>
      </c>
      <c r="CS32">
        <f>SUMIF(SmtRes!AQ19:'SmtRes'!AQ20,"=1",SmtRes!AC19:'SmtRes'!AC20)</f>
        <v>0</v>
      </c>
      <c r="CT32">
        <f>SUMIF(SmtRes!AQ19:'SmtRes'!AQ20,"=1",SmtRes!AD19:'SmtRes'!AD20)</f>
        <v>296.32</v>
      </c>
      <c r="CU32">
        <f>AG32</f>
        <v>0</v>
      </c>
      <c r="CV32">
        <f>SUMIF(SmtRes!AQ19:'SmtRes'!AQ20,"=1",SmtRes!BU19:'SmtRes'!BU20)</f>
        <v>12.16</v>
      </c>
      <c r="CW32">
        <f>SUMIF(SmtRes!AQ19:'SmtRes'!AQ20,"=1",SmtRes!BV19:'SmtRes'!BV20)</f>
        <v>0</v>
      </c>
      <c r="CX32">
        <f>AJ32</f>
        <v>0</v>
      </c>
      <c r="CY32">
        <f>(((S32+R32)*AT32)/100)</f>
        <v>26143.750400000001</v>
      </c>
      <c r="CZ32">
        <f>(((S32+R32)*AU32)/100)</f>
        <v>13745.683200000001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44</v>
      </c>
      <c r="DW32" t="s">
        <v>44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40604465</v>
      </c>
      <c r="EF32">
        <v>3</v>
      </c>
      <c r="EG32" t="s">
        <v>22</v>
      </c>
      <c r="EH32">
        <v>0</v>
      </c>
      <c r="EI32" t="s">
        <v>6</v>
      </c>
      <c r="EJ32">
        <v>2</v>
      </c>
      <c r="EK32">
        <v>108001</v>
      </c>
      <c r="EL32" t="s">
        <v>23</v>
      </c>
      <c r="EM32" t="s">
        <v>24</v>
      </c>
      <c r="EO32" t="s">
        <v>6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12.16</v>
      </c>
      <c r="EX32">
        <v>0</v>
      </c>
      <c r="EY32">
        <v>0</v>
      </c>
      <c r="FQ32">
        <v>0</v>
      </c>
      <c r="FR32">
        <f t="shared" si="27"/>
        <v>0</v>
      </c>
      <c r="FS32">
        <v>0</v>
      </c>
      <c r="FX32">
        <v>97</v>
      </c>
      <c r="FY32">
        <v>51</v>
      </c>
      <c r="GA32" t="s">
        <v>6</v>
      </c>
      <c r="GD32">
        <v>1</v>
      </c>
      <c r="GF32">
        <v>386000195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28"/>
        <v>0</v>
      </c>
      <c r="GM32">
        <f t="shared" si="29"/>
        <v>66841.75</v>
      </c>
      <c r="GN32">
        <f t="shared" si="30"/>
        <v>0</v>
      </c>
      <c r="GO32">
        <f t="shared" si="31"/>
        <v>66841.75</v>
      </c>
      <c r="GP32">
        <f t="shared" si="32"/>
        <v>0</v>
      </c>
      <c r="GR32">
        <v>0</v>
      </c>
      <c r="GS32">
        <v>3</v>
      </c>
      <c r="GT32">
        <v>0</v>
      </c>
      <c r="GU32" t="s">
        <v>6</v>
      </c>
      <c r="GV32">
        <f t="shared" si="33"/>
        <v>0</v>
      </c>
      <c r="GW32">
        <v>1</v>
      </c>
      <c r="GX32">
        <f t="shared" si="34"/>
        <v>0</v>
      </c>
      <c r="HA32">
        <v>0</v>
      </c>
      <c r="HB32">
        <v>0</v>
      </c>
      <c r="HC32">
        <f>GV32*GW32</f>
        <v>0</v>
      </c>
      <c r="HE32" t="s">
        <v>6</v>
      </c>
      <c r="HF32" t="s">
        <v>6</v>
      </c>
      <c r="HM32" t="s">
        <v>6</v>
      </c>
      <c r="HN32" t="s">
        <v>25</v>
      </c>
      <c r="HO32" t="s">
        <v>26</v>
      </c>
      <c r="HP32" t="s">
        <v>23</v>
      </c>
      <c r="HQ32" t="s">
        <v>23</v>
      </c>
      <c r="IK32">
        <v>0</v>
      </c>
    </row>
    <row r="33" spans="1:245">
      <c r="A33">
        <v>18</v>
      </c>
      <c r="B33">
        <v>1</v>
      </c>
      <c r="C33">
        <v>20</v>
      </c>
      <c r="E33" t="s">
        <v>46</v>
      </c>
      <c r="F33" t="s">
        <v>28</v>
      </c>
      <c r="G33" t="s">
        <v>29</v>
      </c>
      <c r="H33" t="s">
        <v>30</v>
      </c>
      <c r="I33">
        <f>J33</f>
        <v>2</v>
      </c>
      <c r="J33">
        <v>2</v>
      </c>
      <c r="K33">
        <v>2</v>
      </c>
      <c r="O33">
        <f>ROUND(P33,2)</f>
        <v>539.04999999999995</v>
      </c>
      <c r="P33">
        <f>ROUND(ROUND(ROUND(SUMIF(SmtRes!AQ19:'SmtRes'!AQ20,"=1",SmtRes!CU19:'SmtRes'!CU20),2),2)*I33/100,2)</f>
        <v>539.04999999999995</v>
      </c>
      <c r="Q33">
        <f>ROUND(CR33*I33,2)</f>
        <v>0</v>
      </c>
      <c r="R33">
        <f>ROUND(CS33*I33,2)</f>
        <v>0</v>
      </c>
      <c r="S33">
        <f>ROUND(CT33*I33,2)</f>
        <v>0</v>
      </c>
      <c r="T33">
        <f t="shared" si="21"/>
        <v>0</v>
      </c>
      <c r="U33">
        <f>CV33*I33</f>
        <v>0</v>
      </c>
      <c r="V33">
        <f>CW33*I33</f>
        <v>0</v>
      </c>
      <c r="W33">
        <f t="shared" si="22"/>
        <v>0</v>
      </c>
      <c r="X33">
        <f t="shared" si="23"/>
        <v>0</v>
      </c>
      <c r="Y33">
        <f t="shared" si="23"/>
        <v>0</v>
      </c>
      <c r="AA33">
        <v>41853493</v>
      </c>
      <c r="AB33">
        <f t="shared" si="24"/>
        <v>0</v>
      </c>
      <c r="AC33">
        <f>ROUND((ES33),2)</f>
        <v>0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25"/>
        <v>0</v>
      </c>
      <c r="AH33">
        <f>(EW33)</f>
        <v>0</v>
      </c>
      <c r="AI33">
        <f>(EX33)</f>
        <v>0</v>
      </c>
      <c r="AJ33">
        <f t="shared" si="26"/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3</v>
      </c>
      <c r="BI33">
        <v>4</v>
      </c>
      <c r="BJ33" t="s">
        <v>6</v>
      </c>
      <c r="BM33">
        <v>0</v>
      </c>
      <c r="BN33">
        <v>0</v>
      </c>
      <c r="BO33" t="s">
        <v>6</v>
      </c>
      <c r="BP33">
        <v>0</v>
      </c>
      <c r="BQ33">
        <v>16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0</v>
      </c>
      <c r="CA33">
        <v>0</v>
      </c>
      <c r="CB33" t="s">
        <v>6</v>
      </c>
      <c r="CE33">
        <v>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>0</f>
        <v>0</v>
      </c>
      <c r="CQ33">
        <f>0</f>
        <v>0</v>
      </c>
      <c r="CR33">
        <f>0</f>
        <v>0</v>
      </c>
      <c r="CS33">
        <f>0</f>
        <v>0</v>
      </c>
      <c r="CT33">
        <f>0</f>
        <v>0</v>
      </c>
      <c r="CU33">
        <f>0</f>
        <v>0</v>
      </c>
      <c r="CV33">
        <f>0</f>
        <v>0</v>
      </c>
      <c r="CW33">
        <f>0</f>
        <v>0</v>
      </c>
      <c r="CX33">
        <f>0</f>
        <v>0</v>
      </c>
      <c r="CY33">
        <f>0</f>
        <v>0</v>
      </c>
      <c r="CZ33">
        <f>0</f>
        <v>0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30</v>
      </c>
      <c r="DW33" t="s">
        <v>30</v>
      </c>
      <c r="DX33">
        <v>1</v>
      </c>
      <c r="DZ33" t="s">
        <v>6</v>
      </c>
      <c r="EA33" t="s">
        <v>6</v>
      </c>
      <c r="EB33" t="s">
        <v>6</v>
      </c>
      <c r="EC33" t="s">
        <v>6</v>
      </c>
      <c r="EE33">
        <v>40604523</v>
      </c>
      <c r="EF33">
        <v>16</v>
      </c>
      <c r="EG33" t="s">
        <v>31</v>
      </c>
      <c r="EH33">
        <v>0</v>
      </c>
      <c r="EI33" t="s">
        <v>6</v>
      </c>
      <c r="EJ33">
        <v>4</v>
      </c>
      <c r="EK33">
        <v>0</v>
      </c>
      <c r="EL33" t="s">
        <v>32</v>
      </c>
      <c r="EM33" t="s">
        <v>33</v>
      </c>
      <c r="EO33" t="s">
        <v>6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27"/>
        <v>0</v>
      </c>
      <c r="FS33">
        <v>0</v>
      </c>
      <c r="FX33">
        <v>0</v>
      </c>
      <c r="FY33">
        <v>0</v>
      </c>
      <c r="GA33" t="s">
        <v>6</v>
      </c>
      <c r="GD33">
        <v>1</v>
      </c>
      <c r="GF33">
        <v>274903907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28"/>
        <v>0</v>
      </c>
      <c r="GM33">
        <f t="shared" si="29"/>
        <v>539.04999999999995</v>
      </c>
      <c r="GN33">
        <f t="shared" si="30"/>
        <v>0</v>
      </c>
      <c r="GO33">
        <f t="shared" si="31"/>
        <v>0</v>
      </c>
      <c r="GP33">
        <f t="shared" si="32"/>
        <v>539.04999999999995</v>
      </c>
      <c r="GR33">
        <v>0</v>
      </c>
      <c r="GS33">
        <v>3</v>
      </c>
      <c r="GT33">
        <v>0</v>
      </c>
      <c r="GU33" t="s">
        <v>6</v>
      </c>
      <c r="GV33">
        <f t="shared" si="33"/>
        <v>0</v>
      </c>
      <c r="GW33">
        <v>1</v>
      </c>
      <c r="GX33">
        <f t="shared" si="34"/>
        <v>0</v>
      </c>
      <c r="HA33">
        <v>0</v>
      </c>
      <c r="HB33">
        <v>0</v>
      </c>
      <c r="HC33">
        <f>0</f>
        <v>0</v>
      </c>
      <c r="HE33" t="s">
        <v>6</v>
      </c>
      <c r="HF33" t="s">
        <v>6</v>
      </c>
      <c r="HM33" t="s">
        <v>6</v>
      </c>
      <c r="HN33" t="s">
        <v>6</v>
      </c>
      <c r="HO33" t="s">
        <v>6</v>
      </c>
      <c r="HP33" t="s">
        <v>6</v>
      </c>
      <c r="HQ33" t="s">
        <v>6</v>
      </c>
      <c r="IK33">
        <v>0</v>
      </c>
    </row>
    <row r="35" spans="1:245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Монтаж узла учета 0,23кВ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35">ROUND(AB35,2)</f>
        <v>50653.74</v>
      </c>
      <c r="P35" s="2">
        <f t="shared" si="35"/>
        <v>1704.15</v>
      </c>
      <c r="Q35" s="2">
        <f t="shared" si="35"/>
        <v>3837.63</v>
      </c>
      <c r="R35" s="2">
        <f t="shared" si="35"/>
        <v>1360.03</v>
      </c>
      <c r="S35" s="2">
        <f t="shared" si="35"/>
        <v>43751.93</v>
      </c>
      <c r="T35" s="2">
        <f t="shared" si="35"/>
        <v>0</v>
      </c>
      <c r="U35" s="2">
        <f>AH35</f>
        <v>144.8176</v>
      </c>
      <c r="V35" s="2">
        <f>AI35</f>
        <v>4.1955600000000004</v>
      </c>
      <c r="W35" s="2">
        <f>ROUND(AJ35,2)</f>
        <v>0</v>
      </c>
      <c r="X35" s="2">
        <f>ROUND(AK35,2)</f>
        <v>43758.6</v>
      </c>
      <c r="Y35" s="2">
        <f>ROUND(AL35,2)</f>
        <v>23007.09</v>
      </c>
      <c r="Z35" s="2"/>
      <c r="AA35" s="2"/>
      <c r="AB35" s="2">
        <f>ROUND(SUMIF(AA28:AA33,"=41853493",O28:O33),2)</f>
        <v>50653.74</v>
      </c>
      <c r="AC35" s="2">
        <f>ROUND(SUMIF(AA28:AA33,"=41853493",P28:P33),2)</f>
        <v>1704.15</v>
      </c>
      <c r="AD35" s="2">
        <f>ROUND(SUMIF(AA28:AA33,"=41853493",Q28:Q33),2)</f>
        <v>3837.63</v>
      </c>
      <c r="AE35" s="2">
        <f>ROUND(SUMIF(AA28:AA33,"=41853493",R28:R33),2)</f>
        <v>1360.03</v>
      </c>
      <c r="AF35" s="2">
        <f>ROUND(SUMIF(AA28:AA33,"=41853493",S28:S33),2)</f>
        <v>43751.93</v>
      </c>
      <c r="AG35" s="2">
        <f>ROUND(SUMIF(AA28:AA33,"=41853493",T28:T33),2)</f>
        <v>0</v>
      </c>
      <c r="AH35" s="2">
        <f>SUMIF(AA28:AA33,"=41853493",U28:U33)</f>
        <v>144.8176</v>
      </c>
      <c r="AI35" s="2">
        <f>SUMIF(AA28:AA33,"=41853493",V28:V33)</f>
        <v>4.1955600000000004</v>
      </c>
      <c r="AJ35" s="2">
        <f>ROUND(SUMIF(AA28:AA33,"=41853493",W28:W33),2)</f>
        <v>0</v>
      </c>
      <c r="AK35" s="2">
        <f>ROUND(SUMIF(AA28:AA33,"=41853493",X28:X33),2)</f>
        <v>43758.6</v>
      </c>
      <c r="AL35" s="2">
        <f>ROUND(SUMIF(AA28:AA33,"=41853493",Y28:Y33),2)</f>
        <v>23007.09</v>
      </c>
      <c r="AM35" s="2"/>
      <c r="AN35" s="2"/>
      <c r="AO35" s="2">
        <f t="shared" ref="AO35:BD35" si="36">ROUND(BX35,2)</f>
        <v>0</v>
      </c>
      <c r="AP35" s="2">
        <f t="shared" si="36"/>
        <v>0</v>
      </c>
      <c r="AQ35" s="2">
        <f t="shared" si="36"/>
        <v>0</v>
      </c>
      <c r="AR35" s="2">
        <f t="shared" si="36"/>
        <v>117419.43</v>
      </c>
      <c r="AS35" s="2">
        <f t="shared" si="36"/>
        <v>0</v>
      </c>
      <c r="AT35" s="2">
        <f t="shared" si="36"/>
        <v>116544.39</v>
      </c>
      <c r="AU35" s="2">
        <f t="shared" si="36"/>
        <v>875.04</v>
      </c>
      <c r="AV35" s="2">
        <f t="shared" si="36"/>
        <v>1704.15</v>
      </c>
      <c r="AW35" s="2">
        <f t="shared" si="36"/>
        <v>1704.15</v>
      </c>
      <c r="AX35" s="2">
        <f t="shared" si="36"/>
        <v>0</v>
      </c>
      <c r="AY35" s="2">
        <f t="shared" si="36"/>
        <v>1704.15</v>
      </c>
      <c r="AZ35" s="2">
        <f t="shared" si="36"/>
        <v>0</v>
      </c>
      <c r="BA35" s="2">
        <f t="shared" si="36"/>
        <v>0</v>
      </c>
      <c r="BB35" s="2">
        <f t="shared" si="36"/>
        <v>0</v>
      </c>
      <c r="BC35" s="2">
        <f t="shared" si="36"/>
        <v>0</v>
      </c>
      <c r="BD35" s="2">
        <f t="shared" si="36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ROUND(SUMIF(AA28:AA33,"=41853493",FQ28:FQ33),2)</f>
        <v>0</v>
      </c>
      <c r="BY35" s="2">
        <f>ROUND(SUMIF(AA28:AA33,"=41853493",FR28:FR33),2)</f>
        <v>0</v>
      </c>
      <c r="BZ35" s="2">
        <f>ROUND(SUMIF(AA28:AA33,"=41853493",GL28:GL33),2)</f>
        <v>0</v>
      </c>
      <c r="CA35" s="2">
        <f>ROUND(SUMIF(AA28:AA33,"=41853493",GM28:GM33),2)</f>
        <v>117419.43</v>
      </c>
      <c r="CB35" s="2">
        <f>ROUND(SUMIF(AA28:AA33,"=41853493",GN28:GN33),2)</f>
        <v>0</v>
      </c>
      <c r="CC35" s="2">
        <f>ROUND(SUMIF(AA28:AA33,"=41853493",GO28:GO33),2)</f>
        <v>116544.39</v>
      </c>
      <c r="CD35" s="2">
        <f>ROUND(SUMIF(AA28:AA33,"=41853493",GP28:GP33),2)</f>
        <v>875.04</v>
      </c>
      <c r="CE35" s="2">
        <f>AC35-BX35</f>
        <v>1704.15</v>
      </c>
      <c r="CF35" s="2">
        <f>AC35-BY35</f>
        <v>1704.15</v>
      </c>
      <c r="CG35" s="2">
        <f>BX35-BZ35</f>
        <v>0</v>
      </c>
      <c r="CH35" s="2">
        <f>AC35-BX35-BY35+BZ35</f>
        <v>1704.15</v>
      </c>
      <c r="CI35" s="2">
        <f>BY35-BZ35</f>
        <v>0</v>
      </c>
      <c r="CJ35" s="2">
        <f>ROUND(SUMIF(AA28:AA33,"=41853493",GX28:GX33),2)</f>
        <v>0</v>
      </c>
      <c r="CK35" s="2">
        <f>ROUND(SUMIF(AA28:AA33,"=41853493",GY28:GY33),2)</f>
        <v>0</v>
      </c>
      <c r="CL35" s="2">
        <f>ROUND(SUMIF(AA28:AA33,"=41853493",GZ28:GZ33),2)</f>
        <v>0</v>
      </c>
      <c r="CM35" s="2">
        <f>ROUND(SUMIF(AA28:AA33,"=41853493",HD28:HD33),2)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>
      <c r="A37" s="4">
        <v>50</v>
      </c>
      <c r="B37" s="4">
        <v>1</v>
      </c>
      <c r="C37" s="4">
        <v>0</v>
      </c>
      <c r="D37" s="4">
        <v>1</v>
      </c>
      <c r="E37" s="4">
        <v>201</v>
      </c>
      <c r="F37" s="4">
        <f>ROUND(Source!O35,O37)</f>
        <v>50653.74</v>
      </c>
      <c r="G37" s="4" t="s">
        <v>47</v>
      </c>
      <c r="H37" s="4" t="s">
        <v>48</v>
      </c>
      <c r="I37" s="4"/>
      <c r="J37" s="4"/>
      <c r="K37" s="4">
        <v>201</v>
      </c>
      <c r="L37" s="4">
        <v>1</v>
      </c>
      <c r="M37" s="4">
        <v>1</v>
      </c>
      <c r="N37" s="4" t="s">
        <v>6</v>
      </c>
      <c r="O37" s="4">
        <v>2</v>
      </c>
      <c r="P37" s="4"/>
      <c r="Q37" s="4"/>
      <c r="R37" s="4"/>
      <c r="S37" s="4"/>
      <c r="T37" s="4"/>
      <c r="U37" s="4"/>
      <c r="V37" s="4"/>
      <c r="W37" s="4">
        <v>50653.74</v>
      </c>
      <c r="X37" s="4">
        <v>1</v>
      </c>
      <c r="Y37" s="4">
        <v>50653.74</v>
      </c>
      <c r="Z37" s="4"/>
      <c r="AA37" s="4"/>
      <c r="AB37" s="4"/>
    </row>
    <row r="38" spans="1:245">
      <c r="A38" s="4">
        <v>50</v>
      </c>
      <c r="B38" s="4">
        <v>1</v>
      </c>
      <c r="C38" s="4">
        <v>0</v>
      </c>
      <c r="D38" s="4">
        <v>1</v>
      </c>
      <c r="E38" s="4">
        <v>202</v>
      </c>
      <c r="F38" s="4">
        <f>ROUND(Source!P35,O38)</f>
        <v>1704.15</v>
      </c>
      <c r="G38" s="4" t="s">
        <v>49</v>
      </c>
      <c r="H38" s="4" t="s">
        <v>50</v>
      </c>
      <c r="I38" s="4"/>
      <c r="J38" s="4"/>
      <c r="K38" s="4">
        <v>202</v>
      </c>
      <c r="L38" s="4">
        <v>2</v>
      </c>
      <c r="M38" s="4">
        <v>1</v>
      </c>
      <c r="N38" s="4" t="s">
        <v>6</v>
      </c>
      <c r="O38" s="4">
        <v>2</v>
      </c>
      <c r="P38" s="4"/>
      <c r="Q38" s="4"/>
      <c r="R38" s="4"/>
      <c r="S38" s="4"/>
      <c r="T38" s="4"/>
      <c r="U38" s="4"/>
      <c r="V38" s="4"/>
      <c r="W38" s="4">
        <v>1704.15</v>
      </c>
      <c r="X38" s="4">
        <v>1</v>
      </c>
      <c r="Y38" s="4">
        <v>1704.15</v>
      </c>
      <c r="Z38" s="4"/>
      <c r="AA38" s="4"/>
      <c r="AB38" s="4"/>
    </row>
    <row r="39" spans="1:245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51</v>
      </c>
      <c r="H39" s="4" t="s">
        <v>52</v>
      </c>
      <c r="I39" s="4"/>
      <c r="J39" s="4"/>
      <c r="K39" s="4">
        <v>222</v>
      </c>
      <c r="L39" s="4">
        <v>3</v>
      </c>
      <c r="M39" s="4">
        <v>3</v>
      </c>
      <c r="N39" s="4" t="s">
        <v>6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1704.15</v>
      </c>
      <c r="G40" s="4" t="s">
        <v>53</v>
      </c>
      <c r="H40" s="4" t="s">
        <v>54</v>
      </c>
      <c r="I40" s="4"/>
      <c r="J40" s="4"/>
      <c r="K40" s="4">
        <v>225</v>
      </c>
      <c r="L40" s="4">
        <v>4</v>
      </c>
      <c r="M40" s="4">
        <v>3</v>
      </c>
      <c r="N40" s="4" t="s">
        <v>6</v>
      </c>
      <c r="O40" s="4">
        <v>2</v>
      </c>
      <c r="P40" s="4"/>
      <c r="Q40" s="4"/>
      <c r="R40" s="4"/>
      <c r="S40" s="4"/>
      <c r="T40" s="4"/>
      <c r="U40" s="4"/>
      <c r="V40" s="4"/>
      <c r="W40" s="4">
        <v>1704.15</v>
      </c>
      <c r="X40" s="4">
        <v>1</v>
      </c>
      <c r="Y40" s="4">
        <v>1704.15</v>
      </c>
      <c r="Z40" s="4"/>
      <c r="AA40" s="4"/>
      <c r="AB40" s="4"/>
    </row>
    <row r="41" spans="1:245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1704.15</v>
      </c>
      <c r="G41" s="4" t="s">
        <v>55</v>
      </c>
      <c r="H41" s="4" t="s">
        <v>56</v>
      </c>
      <c r="I41" s="4"/>
      <c r="J41" s="4"/>
      <c r="K41" s="4">
        <v>226</v>
      </c>
      <c r="L41" s="4">
        <v>5</v>
      </c>
      <c r="M41" s="4">
        <v>3</v>
      </c>
      <c r="N41" s="4" t="s">
        <v>6</v>
      </c>
      <c r="O41" s="4">
        <v>2</v>
      </c>
      <c r="P41" s="4"/>
      <c r="Q41" s="4"/>
      <c r="R41" s="4"/>
      <c r="S41" s="4"/>
      <c r="T41" s="4"/>
      <c r="U41" s="4"/>
      <c r="V41" s="4"/>
      <c r="W41" s="4">
        <v>1704.15</v>
      </c>
      <c r="X41" s="4">
        <v>1</v>
      </c>
      <c r="Y41" s="4">
        <v>1704.15</v>
      </c>
      <c r="Z41" s="4"/>
      <c r="AA41" s="4"/>
      <c r="AB41" s="4"/>
    </row>
    <row r="42" spans="1:245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57</v>
      </c>
      <c r="H42" s="4" t="s">
        <v>58</v>
      </c>
      <c r="I42" s="4"/>
      <c r="J42" s="4"/>
      <c r="K42" s="4">
        <v>227</v>
      </c>
      <c r="L42" s="4">
        <v>6</v>
      </c>
      <c r="M42" s="4">
        <v>3</v>
      </c>
      <c r="N42" s="4" t="s">
        <v>6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1704.15</v>
      </c>
      <c r="G43" s="4" t="s">
        <v>59</v>
      </c>
      <c r="H43" s="4" t="s">
        <v>60</v>
      </c>
      <c r="I43" s="4"/>
      <c r="J43" s="4"/>
      <c r="K43" s="4">
        <v>228</v>
      </c>
      <c r="L43" s="4">
        <v>7</v>
      </c>
      <c r="M43" s="4">
        <v>3</v>
      </c>
      <c r="N43" s="4" t="s">
        <v>6</v>
      </c>
      <c r="O43" s="4">
        <v>2</v>
      </c>
      <c r="P43" s="4"/>
      <c r="Q43" s="4"/>
      <c r="R43" s="4"/>
      <c r="S43" s="4"/>
      <c r="T43" s="4"/>
      <c r="U43" s="4"/>
      <c r="V43" s="4"/>
      <c r="W43" s="4">
        <v>1704.15</v>
      </c>
      <c r="X43" s="4">
        <v>1</v>
      </c>
      <c r="Y43" s="4">
        <v>1704.15</v>
      </c>
      <c r="Z43" s="4"/>
      <c r="AA43" s="4"/>
      <c r="AB43" s="4"/>
    </row>
    <row r="44" spans="1:245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61</v>
      </c>
      <c r="H44" s="4" t="s">
        <v>62</v>
      </c>
      <c r="I44" s="4"/>
      <c r="J44" s="4"/>
      <c r="K44" s="4">
        <v>216</v>
      </c>
      <c r="L44" s="4">
        <v>8</v>
      </c>
      <c r="M44" s="4">
        <v>3</v>
      </c>
      <c r="N44" s="4" t="s">
        <v>6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63</v>
      </c>
      <c r="H45" s="4" t="s">
        <v>64</v>
      </c>
      <c r="I45" s="4"/>
      <c r="J45" s="4"/>
      <c r="K45" s="4">
        <v>223</v>
      </c>
      <c r="L45" s="4">
        <v>9</v>
      </c>
      <c r="M45" s="4">
        <v>3</v>
      </c>
      <c r="N45" s="4" t="s">
        <v>6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65</v>
      </c>
      <c r="H46" s="4" t="s">
        <v>66</v>
      </c>
      <c r="I46" s="4"/>
      <c r="J46" s="4"/>
      <c r="K46" s="4">
        <v>229</v>
      </c>
      <c r="L46" s="4">
        <v>10</v>
      </c>
      <c r="M46" s="4">
        <v>3</v>
      </c>
      <c r="N46" s="4" t="s">
        <v>6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>
      <c r="A47" s="4">
        <v>50</v>
      </c>
      <c r="B47" s="4">
        <v>1</v>
      </c>
      <c r="C47" s="4">
        <v>0</v>
      </c>
      <c r="D47" s="4">
        <v>1</v>
      </c>
      <c r="E47" s="4">
        <v>203</v>
      </c>
      <c r="F47" s="4">
        <f>ROUND(Source!Q35,O47)</f>
        <v>3837.63</v>
      </c>
      <c r="G47" s="4" t="s">
        <v>67</v>
      </c>
      <c r="H47" s="4" t="s">
        <v>68</v>
      </c>
      <c r="I47" s="4"/>
      <c r="J47" s="4"/>
      <c r="K47" s="4">
        <v>203</v>
      </c>
      <c r="L47" s="4">
        <v>11</v>
      </c>
      <c r="M47" s="4">
        <v>1</v>
      </c>
      <c r="N47" s="4" t="s">
        <v>6</v>
      </c>
      <c r="O47" s="4">
        <v>2</v>
      </c>
      <c r="P47" s="4"/>
      <c r="Q47" s="4"/>
      <c r="R47" s="4"/>
      <c r="S47" s="4"/>
      <c r="T47" s="4"/>
      <c r="U47" s="4"/>
      <c r="V47" s="4"/>
      <c r="W47" s="4">
        <v>3837.63</v>
      </c>
      <c r="X47" s="4">
        <v>1</v>
      </c>
      <c r="Y47" s="4">
        <v>3837.63</v>
      </c>
      <c r="Z47" s="4"/>
      <c r="AA47" s="4"/>
      <c r="AB47" s="4"/>
    </row>
    <row r="48" spans="1:245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69</v>
      </c>
      <c r="H48" s="4" t="s">
        <v>70</v>
      </c>
      <c r="I48" s="4"/>
      <c r="J48" s="4"/>
      <c r="K48" s="4">
        <v>231</v>
      </c>
      <c r="L48" s="4">
        <v>12</v>
      </c>
      <c r="M48" s="4">
        <v>3</v>
      </c>
      <c r="N48" s="4" t="s">
        <v>6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>
      <c r="A49" s="4">
        <v>50</v>
      </c>
      <c r="B49" s="4">
        <v>1</v>
      </c>
      <c r="C49" s="4">
        <v>0</v>
      </c>
      <c r="D49" s="4">
        <v>1</v>
      </c>
      <c r="E49" s="4">
        <v>204</v>
      </c>
      <c r="F49" s="4">
        <f>ROUND(Source!R35,O49)</f>
        <v>1360.03</v>
      </c>
      <c r="G49" s="4" t="s">
        <v>71</v>
      </c>
      <c r="H49" s="4" t="s">
        <v>72</v>
      </c>
      <c r="I49" s="4"/>
      <c r="J49" s="4"/>
      <c r="K49" s="4">
        <v>204</v>
      </c>
      <c r="L49" s="4">
        <v>13</v>
      </c>
      <c r="M49" s="4">
        <v>1</v>
      </c>
      <c r="N49" s="4" t="s">
        <v>6</v>
      </c>
      <c r="O49" s="4">
        <v>2</v>
      </c>
      <c r="P49" s="4"/>
      <c r="Q49" s="4"/>
      <c r="R49" s="4"/>
      <c r="S49" s="4"/>
      <c r="T49" s="4"/>
      <c r="U49" s="4"/>
      <c r="V49" s="4"/>
      <c r="W49" s="4">
        <v>1360.03</v>
      </c>
      <c r="X49" s="4">
        <v>1</v>
      </c>
      <c r="Y49" s="4">
        <v>1360.03</v>
      </c>
      <c r="Z49" s="4"/>
      <c r="AA49" s="4"/>
      <c r="AB49" s="4"/>
    </row>
    <row r="50" spans="1:28">
      <c r="A50" s="4">
        <v>50</v>
      </c>
      <c r="B50" s="4">
        <v>1</v>
      </c>
      <c r="C50" s="4">
        <v>0</v>
      </c>
      <c r="D50" s="4">
        <v>1</v>
      </c>
      <c r="E50" s="4">
        <v>205</v>
      </c>
      <c r="F50" s="4">
        <f>ROUND(Source!S35,O50)</f>
        <v>43751.93</v>
      </c>
      <c r="G50" s="4" t="s">
        <v>73</v>
      </c>
      <c r="H50" s="4" t="s">
        <v>74</v>
      </c>
      <c r="I50" s="4"/>
      <c r="J50" s="4"/>
      <c r="K50" s="4">
        <v>205</v>
      </c>
      <c r="L50" s="4">
        <v>14</v>
      </c>
      <c r="M50" s="4">
        <v>1</v>
      </c>
      <c r="N50" s="4" t="s">
        <v>6</v>
      </c>
      <c r="O50" s="4">
        <v>2</v>
      </c>
      <c r="P50" s="4"/>
      <c r="Q50" s="4"/>
      <c r="R50" s="4"/>
      <c r="S50" s="4"/>
      <c r="T50" s="4"/>
      <c r="U50" s="4"/>
      <c r="V50" s="4"/>
      <c r="W50" s="4">
        <v>43751.93</v>
      </c>
      <c r="X50" s="4">
        <v>1</v>
      </c>
      <c r="Y50" s="4">
        <v>43751.93</v>
      </c>
      <c r="Z50" s="4"/>
      <c r="AA50" s="4"/>
      <c r="AB50" s="4"/>
    </row>
    <row r="51" spans="1:28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75</v>
      </c>
      <c r="H51" s="4" t="s">
        <v>76</v>
      </c>
      <c r="I51" s="4"/>
      <c r="J51" s="4"/>
      <c r="K51" s="4">
        <v>232</v>
      </c>
      <c r="L51" s="4">
        <v>15</v>
      </c>
      <c r="M51" s="4">
        <v>3</v>
      </c>
      <c r="N51" s="4" t="s">
        <v>6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0</v>
      </c>
      <c r="G52" s="4" t="s">
        <v>77</v>
      </c>
      <c r="H52" s="4" t="s">
        <v>78</v>
      </c>
      <c r="I52" s="4"/>
      <c r="J52" s="4"/>
      <c r="K52" s="4">
        <v>214</v>
      </c>
      <c r="L52" s="4">
        <v>16</v>
      </c>
      <c r="M52" s="4">
        <v>3</v>
      </c>
      <c r="N52" s="4" t="s">
        <v>6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116544.39</v>
      </c>
      <c r="G53" s="4" t="s">
        <v>79</v>
      </c>
      <c r="H53" s="4" t="s">
        <v>80</v>
      </c>
      <c r="I53" s="4"/>
      <c r="J53" s="4"/>
      <c r="K53" s="4">
        <v>215</v>
      </c>
      <c r="L53" s="4">
        <v>17</v>
      </c>
      <c r="M53" s="4">
        <v>3</v>
      </c>
      <c r="N53" s="4" t="s">
        <v>6</v>
      </c>
      <c r="O53" s="4">
        <v>2</v>
      </c>
      <c r="P53" s="4"/>
      <c r="Q53" s="4"/>
      <c r="R53" s="4"/>
      <c r="S53" s="4"/>
      <c r="T53" s="4"/>
      <c r="U53" s="4"/>
      <c r="V53" s="4"/>
      <c r="W53" s="4">
        <v>116544.39</v>
      </c>
      <c r="X53" s="4">
        <v>1</v>
      </c>
      <c r="Y53" s="4">
        <v>116544.39</v>
      </c>
      <c r="Z53" s="4"/>
      <c r="AA53" s="4"/>
      <c r="AB53" s="4"/>
    </row>
    <row r="54" spans="1:28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875.04</v>
      </c>
      <c r="G54" s="4" t="s">
        <v>81</v>
      </c>
      <c r="H54" s="4" t="s">
        <v>82</v>
      </c>
      <c r="I54" s="4"/>
      <c r="J54" s="4"/>
      <c r="K54" s="4">
        <v>217</v>
      </c>
      <c r="L54" s="4">
        <v>18</v>
      </c>
      <c r="M54" s="4">
        <v>3</v>
      </c>
      <c r="N54" s="4" t="s">
        <v>6</v>
      </c>
      <c r="O54" s="4">
        <v>2</v>
      </c>
      <c r="P54" s="4"/>
      <c r="Q54" s="4"/>
      <c r="R54" s="4"/>
      <c r="S54" s="4"/>
      <c r="T54" s="4"/>
      <c r="U54" s="4"/>
      <c r="V54" s="4"/>
      <c r="W54" s="4">
        <v>875.04</v>
      </c>
      <c r="X54" s="4">
        <v>1</v>
      </c>
      <c r="Y54" s="4">
        <v>875.04</v>
      </c>
      <c r="Z54" s="4"/>
      <c r="AA54" s="4"/>
      <c r="AB54" s="4"/>
    </row>
    <row r="55" spans="1:28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83</v>
      </c>
      <c r="H55" s="4" t="s">
        <v>84</v>
      </c>
      <c r="I55" s="4"/>
      <c r="J55" s="4"/>
      <c r="K55" s="4">
        <v>230</v>
      </c>
      <c r="L55" s="4">
        <v>19</v>
      </c>
      <c r="M55" s="4">
        <v>3</v>
      </c>
      <c r="N55" s="4" t="s">
        <v>6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85</v>
      </c>
      <c r="H56" s="4" t="s">
        <v>86</v>
      </c>
      <c r="I56" s="4"/>
      <c r="J56" s="4"/>
      <c r="K56" s="4">
        <v>206</v>
      </c>
      <c r="L56" s="4">
        <v>20</v>
      </c>
      <c r="M56" s="4">
        <v>3</v>
      </c>
      <c r="N56" s="4" t="s">
        <v>6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144.8176</v>
      </c>
      <c r="G57" s="4" t="s">
        <v>87</v>
      </c>
      <c r="H57" s="4" t="s">
        <v>88</v>
      </c>
      <c r="I57" s="4"/>
      <c r="J57" s="4"/>
      <c r="K57" s="4">
        <v>207</v>
      </c>
      <c r="L57" s="4">
        <v>21</v>
      </c>
      <c r="M57" s="4">
        <v>3</v>
      </c>
      <c r="N57" s="4" t="s">
        <v>6</v>
      </c>
      <c r="O57" s="4">
        <v>-1</v>
      </c>
      <c r="P57" s="4"/>
      <c r="Q57" s="4"/>
      <c r="R57" s="4"/>
      <c r="S57" s="4"/>
      <c r="T57" s="4"/>
      <c r="U57" s="4"/>
      <c r="V57" s="4"/>
      <c r="W57" s="4">
        <v>144.8176</v>
      </c>
      <c r="X57" s="4">
        <v>1</v>
      </c>
      <c r="Y57" s="4">
        <v>144.8176</v>
      </c>
      <c r="Z57" s="4"/>
      <c r="AA57" s="4"/>
      <c r="AB57" s="4"/>
    </row>
    <row r="58" spans="1:28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4.1955600000000004</v>
      </c>
      <c r="G58" s="4" t="s">
        <v>89</v>
      </c>
      <c r="H58" s="4" t="s">
        <v>90</v>
      </c>
      <c r="I58" s="4"/>
      <c r="J58" s="4"/>
      <c r="K58" s="4">
        <v>208</v>
      </c>
      <c r="L58" s="4">
        <v>22</v>
      </c>
      <c r="M58" s="4">
        <v>3</v>
      </c>
      <c r="N58" s="4" t="s">
        <v>6</v>
      </c>
      <c r="O58" s="4">
        <v>-1</v>
      </c>
      <c r="P58" s="4"/>
      <c r="Q58" s="4"/>
      <c r="R58" s="4"/>
      <c r="S58" s="4"/>
      <c r="T58" s="4"/>
      <c r="U58" s="4"/>
      <c r="V58" s="4"/>
      <c r="W58" s="4">
        <v>3.8296000000000001</v>
      </c>
      <c r="X58" s="4">
        <v>1</v>
      </c>
      <c r="Y58" s="4">
        <v>3.8296000000000001</v>
      </c>
      <c r="Z58" s="4"/>
      <c r="AA58" s="4"/>
      <c r="AB58" s="4"/>
    </row>
    <row r="59" spans="1:28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91</v>
      </c>
      <c r="H59" s="4" t="s">
        <v>92</v>
      </c>
      <c r="I59" s="4"/>
      <c r="J59" s="4"/>
      <c r="K59" s="4">
        <v>209</v>
      </c>
      <c r="L59" s="4">
        <v>23</v>
      </c>
      <c r="M59" s="4">
        <v>3</v>
      </c>
      <c r="N59" s="4" t="s">
        <v>6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93</v>
      </c>
      <c r="H60" s="4" t="s">
        <v>94</v>
      </c>
      <c r="I60" s="4"/>
      <c r="J60" s="4"/>
      <c r="K60" s="4">
        <v>233</v>
      </c>
      <c r="L60" s="4">
        <v>24</v>
      </c>
      <c r="M60" s="4">
        <v>3</v>
      </c>
      <c r="N60" s="4" t="s">
        <v>6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>
      <c r="A61" s="4">
        <v>50</v>
      </c>
      <c r="B61" s="4">
        <v>1</v>
      </c>
      <c r="C61" s="4">
        <v>0</v>
      </c>
      <c r="D61" s="4">
        <v>1</v>
      </c>
      <c r="E61" s="4">
        <v>210</v>
      </c>
      <c r="F61" s="4">
        <f>ROUND(Source!X35,O61)</f>
        <v>43758.6</v>
      </c>
      <c r="G61" s="4" t="s">
        <v>95</v>
      </c>
      <c r="H61" s="4" t="s">
        <v>96</v>
      </c>
      <c r="I61" s="4"/>
      <c r="J61" s="4"/>
      <c r="K61" s="4">
        <v>210</v>
      </c>
      <c r="L61" s="4">
        <v>25</v>
      </c>
      <c r="M61" s="4">
        <v>1</v>
      </c>
      <c r="N61" s="4" t="s">
        <v>6</v>
      </c>
      <c r="O61" s="4">
        <v>2</v>
      </c>
      <c r="P61" s="4"/>
      <c r="Q61" s="4"/>
      <c r="R61" s="4"/>
      <c r="S61" s="4"/>
      <c r="T61" s="4"/>
      <c r="U61" s="4"/>
      <c r="V61" s="4"/>
      <c r="W61" s="4">
        <v>43758.6</v>
      </c>
      <c r="X61" s="4">
        <v>1</v>
      </c>
      <c r="Y61" s="4">
        <v>43758.6</v>
      </c>
      <c r="Z61" s="4"/>
      <c r="AA61" s="4"/>
      <c r="AB61" s="4"/>
    </row>
    <row r="62" spans="1:28">
      <c r="A62" s="4">
        <v>50</v>
      </c>
      <c r="B62" s="4">
        <v>1</v>
      </c>
      <c r="C62" s="4">
        <v>0</v>
      </c>
      <c r="D62" s="4">
        <v>1</v>
      </c>
      <c r="E62" s="4">
        <v>211</v>
      </c>
      <c r="F62" s="4">
        <f>ROUND(Source!Y35,O62)</f>
        <v>23007.09</v>
      </c>
      <c r="G62" s="4" t="s">
        <v>97</v>
      </c>
      <c r="H62" s="4" t="s">
        <v>98</v>
      </c>
      <c r="I62" s="4"/>
      <c r="J62" s="4"/>
      <c r="K62" s="4">
        <v>211</v>
      </c>
      <c r="L62" s="4">
        <v>26</v>
      </c>
      <c r="M62" s="4">
        <v>1</v>
      </c>
      <c r="N62" s="4" t="s">
        <v>6</v>
      </c>
      <c r="O62" s="4">
        <v>2</v>
      </c>
      <c r="P62" s="4"/>
      <c r="Q62" s="4"/>
      <c r="R62" s="4"/>
      <c r="S62" s="4"/>
      <c r="T62" s="4"/>
      <c r="U62" s="4"/>
      <c r="V62" s="4"/>
      <c r="W62" s="4">
        <v>23007.09</v>
      </c>
      <c r="X62" s="4">
        <v>1</v>
      </c>
      <c r="Y62" s="4">
        <v>23007.09</v>
      </c>
      <c r="Z62" s="4"/>
      <c r="AA62" s="4"/>
      <c r="AB62" s="4"/>
    </row>
    <row r="63" spans="1:28">
      <c r="A63" s="4">
        <v>50</v>
      </c>
      <c r="B63" s="4">
        <v>1</v>
      </c>
      <c r="C63" s="4">
        <v>0</v>
      </c>
      <c r="D63" s="4">
        <v>1</v>
      </c>
      <c r="E63" s="4">
        <v>224</v>
      </c>
      <c r="F63" s="4">
        <f>ROUND(Source!AR35,O63)</f>
        <v>117419.43</v>
      </c>
      <c r="G63" s="4" t="s">
        <v>99</v>
      </c>
      <c r="H63" s="4" t="s">
        <v>100</v>
      </c>
      <c r="I63" s="4"/>
      <c r="J63" s="4"/>
      <c r="K63" s="4">
        <v>224</v>
      </c>
      <c r="L63" s="4">
        <v>27</v>
      </c>
      <c r="M63" s="4">
        <v>1</v>
      </c>
      <c r="N63" s="4" t="s">
        <v>6</v>
      </c>
      <c r="O63" s="4">
        <v>2</v>
      </c>
      <c r="P63" s="4"/>
      <c r="Q63" s="4"/>
      <c r="R63" s="4"/>
      <c r="S63" s="4"/>
      <c r="T63" s="4"/>
      <c r="U63" s="4"/>
      <c r="V63" s="4"/>
      <c r="W63" s="4">
        <v>117419.43</v>
      </c>
      <c r="X63" s="4">
        <v>1</v>
      </c>
      <c r="Y63" s="4">
        <v>117419.43</v>
      </c>
      <c r="Z63" s="4"/>
      <c r="AA63" s="4"/>
      <c r="AB63" s="4"/>
    </row>
    <row r="64" spans="1:28">
      <c r="A64" s="4">
        <v>50</v>
      </c>
      <c r="B64" s="4">
        <v>0</v>
      </c>
      <c r="C64" s="4">
        <v>0</v>
      </c>
      <c r="D64" s="4">
        <v>2</v>
      </c>
      <c r="E64" s="4">
        <v>0</v>
      </c>
      <c r="F64" s="4">
        <f>0</f>
        <v>0</v>
      </c>
      <c r="G64" s="4" t="s">
        <v>101</v>
      </c>
      <c r="H64" s="4" t="s">
        <v>102</v>
      </c>
      <c r="I64" s="4"/>
      <c r="J64" s="4"/>
      <c r="K64" s="4">
        <v>212</v>
      </c>
      <c r="L64" s="4">
        <v>28</v>
      </c>
      <c r="M64" s="4">
        <v>1</v>
      </c>
      <c r="N64" s="4" t="s">
        <v>6</v>
      </c>
      <c r="O64" s="4">
        <v>-1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>
      <c r="A65" s="4">
        <v>50</v>
      </c>
      <c r="B65" s="4">
        <v>0</v>
      </c>
      <c r="C65" s="4">
        <v>0</v>
      </c>
      <c r="D65" s="4">
        <v>2</v>
      </c>
      <c r="E65" s="4">
        <v>0</v>
      </c>
      <c r="F65" s="4">
        <f>ROUND(IF(F64=0,0,F63/100*F64),O65)</f>
        <v>0</v>
      </c>
      <c r="G65" s="4" t="s">
        <v>103</v>
      </c>
      <c r="H65" s="4" t="s">
        <v>104</v>
      </c>
      <c r="I65" s="4"/>
      <c r="J65" s="4"/>
      <c r="K65" s="4">
        <v>212</v>
      </c>
      <c r="L65" s="4">
        <v>29</v>
      </c>
      <c r="M65" s="4">
        <v>1</v>
      </c>
      <c r="N65" s="4" t="s">
        <v>6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>
      <c r="A66" s="4">
        <v>50</v>
      </c>
      <c r="B66" s="4">
        <v>0</v>
      </c>
      <c r="C66" s="4">
        <v>0</v>
      </c>
      <c r="D66" s="4">
        <v>2</v>
      </c>
      <c r="E66" s="4">
        <v>0</v>
      </c>
      <c r="F66" s="4">
        <f>ROUND(IF(F64=0,0,F63+F65),O66)</f>
        <v>0</v>
      </c>
      <c r="G66" s="4" t="s">
        <v>105</v>
      </c>
      <c r="H66" s="4" t="s">
        <v>106</v>
      </c>
      <c r="I66" s="4"/>
      <c r="J66" s="4"/>
      <c r="K66" s="4">
        <v>212</v>
      </c>
      <c r="L66" s="4">
        <v>30</v>
      </c>
      <c r="M66" s="4">
        <v>1</v>
      </c>
      <c r="N66" s="4" t="s">
        <v>6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>
      <c r="A67" s="4">
        <v>50</v>
      </c>
      <c r="B67" s="4">
        <v>0</v>
      </c>
      <c r="C67" s="4">
        <v>0</v>
      </c>
      <c r="D67" s="4">
        <v>2</v>
      </c>
      <c r="E67" s="4">
        <v>0</v>
      </c>
      <c r="F67" s="4">
        <f>0</f>
        <v>0</v>
      </c>
      <c r="G67" s="4" t="s">
        <v>107</v>
      </c>
      <c r="H67" s="4" t="s">
        <v>108</v>
      </c>
      <c r="I67" s="4"/>
      <c r="J67" s="4"/>
      <c r="K67" s="4">
        <v>212</v>
      </c>
      <c r="L67" s="4">
        <v>31</v>
      </c>
      <c r="M67" s="4">
        <v>1</v>
      </c>
      <c r="N67" s="4" t="s">
        <v>6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>
      <c r="A68" s="4">
        <v>50</v>
      </c>
      <c r="B68" s="4">
        <v>0</v>
      </c>
      <c r="C68" s="4">
        <v>0</v>
      </c>
      <c r="D68" s="4">
        <v>2</v>
      </c>
      <c r="E68" s="4">
        <v>0</v>
      </c>
      <c r="F68" s="4">
        <f>ROUND(IF(F67=0,0,(F63+F65)/100*F67),O68)</f>
        <v>0</v>
      </c>
      <c r="G68" s="4" t="s">
        <v>109</v>
      </c>
      <c r="H68" s="4" t="s">
        <v>110</v>
      </c>
      <c r="I68" s="4"/>
      <c r="J68" s="4"/>
      <c r="K68" s="4">
        <v>212</v>
      </c>
      <c r="L68" s="4">
        <v>32</v>
      </c>
      <c r="M68" s="4">
        <v>1</v>
      </c>
      <c r="N68" s="4" t="s">
        <v>6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>
      <c r="A69" s="4">
        <v>50</v>
      </c>
      <c r="B69" s="4">
        <v>0</v>
      </c>
      <c r="C69" s="4">
        <v>0</v>
      </c>
      <c r="D69" s="4">
        <v>2</v>
      </c>
      <c r="E69" s="4">
        <v>0</v>
      </c>
      <c r="F69" s="4">
        <f>ROUND(IF(F68=0,0,F63+F65+F68),O69)</f>
        <v>0</v>
      </c>
      <c r="G69" s="4" t="s">
        <v>111</v>
      </c>
      <c r="H69" s="4" t="s">
        <v>112</v>
      </c>
      <c r="I69" s="4"/>
      <c r="J69" s="4"/>
      <c r="K69" s="4">
        <v>212</v>
      </c>
      <c r="L69" s="4">
        <v>33</v>
      </c>
      <c r="M69" s="4">
        <v>1</v>
      </c>
      <c r="N69" s="4" t="s">
        <v>6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>
      <c r="A70" s="4">
        <v>50</v>
      </c>
      <c r="B70" s="4">
        <v>0</v>
      </c>
      <c r="C70" s="4">
        <v>0</v>
      </c>
      <c r="D70" s="4">
        <v>2</v>
      </c>
      <c r="E70" s="4">
        <v>0</v>
      </c>
      <c r="F70" s="4">
        <f>0</f>
        <v>0</v>
      </c>
      <c r="G70" s="4" t="s">
        <v>113</v>
      </c>
      <c r="H70" s="4" t="s">
        <v>114</v>
      </c>
      <c r="I70" s="4"/>
      <c r="J70" s="4"/>
      <c r="K70" s="4">
        <v>212</v>
      </c>
      <c r="L70" s="4">
        <v>34</v>
      </c>
      <c r="M70" s="4">
        <v>1</v>
      </c>
      <c r="N70" s="4" t="s">
        <v>6</v>
      </c>
      <c r="O70" s="4">
        <v>-1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>
      <c r="A71" s="4">
        <v>50</v>
      </c>
      <c r="B71" s="4">
        <v>0</v>
      </c>
      <c r="C71" s="4">
        <v>0</v>
      </c>
      <c r="D71" s="4">
        <v>2</v>
      </c>
      <c r="E71" s="4">
        <v>0</v>
      </c>
      <c r="F71" s="4">
        <f>ROUND(IF(F70=0,0,(F63+F65+F68)/100*F70),O71)</f>
        <v>0</v>
      </c>
      <c r="G71" s="4" t="s">
        <v>115</v>
      </c>
      <c r="H71" s="4" t="s">
        <v>116</v>
      </c>
      <c r="I71" s="4"/>
      <c r="J71" s="4"/>
      <c r="K71" s="4">
        <v>212</v>
      </c>
      <c r="L71" s="4">
        <v>35</v>
      </c>
      <c r="M71" s="4">
        <v>1</v>
      </c>
      <c r="N71" s="4" t="s">
        <v>6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>
      <c r="A72" s="4">
        <v>50</v>
      </c>
      <c r="B72" s="4">
        <v>0</v>
      </c>
      <c r="C72" s="4">
        <v>0</v>
      </c>
      <c r="D72" s="4">
        <v>2</v>
      </c>
      <c r="E72" s="4">
        <v>0</v>
      </c>
      <c r="F72" s="4">
        <f>ROUND(IF(F71=0,0,F63+F65+F68+F71),O72)</f>
        <v>0</v>
      </c>
      <c r="G72" s="4" t="s">
        <v>117</v>
      </c>
      <c r="H72" s="4" t="s">
        <v>118</v>
      </c>
      <c r="I72" s="4"/>
      <c r="J72" s="4"/>
      <c r="K72" s="4">
        <v>212</v>
      </c>
      <c r="L72" s="4">
        <v>36</v>
      </c>
      <c r="M72" s="4">
        <v>1</v>
      </c>
      <c r="N72" s="4" t="s">
        <v>6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>
      <c r="A73" s="4">
        <v>50</v>
      </c>
      <c r="B73" s="4">
        <v>0</v>
      </c>
      <c r="C73" s="4">
        <v>0</v>
      </c>
      <c r="D73" s="4">
        <v>2</v>
      </c>
      <c r="E73" s="4">
        <v>0</v>
      </c>
      <c r="F73" s="4">
        <f>ROUND(ROUND(F63+F65+F68+F71,2),O73)</f>
        <v>117419.43</v>
      </c>
      <c r="G73" s="4" t="s">
        <v>119</v>
      </c>
      <c r="H73" s="4" t="s">
        <v>120</v>
      </c>
      <c r="I73" s="4"/>
      <c r="J73" s="4"/>
      <c r="K73" s="4">
        <v>212</v>
      </c>
      <c r="L73" s="4">
        <v>37</v>
      </c>
      <c r="M73" s="4">
        <v>3</v>
      </c>
      <c r="N73" s="4" t="s">
        <v>6</v>
      </c>
      <c r="O73" s="4">
        <v>2</v>
      </c>
      <c r="P73" s="4"/>
      <c r="Q73" s="4"/>
      <c r="R73" s="4"/>
      <c r="S73" s="4"/>
      <c r="T73" s="4"/>
      <c r="U73" s="4"/>
      <c r="V73" s="4"/>
      <c r="W73" s="4">
        <v>117419.43</v>
      </c>
      <c r="X73" s="4">
        <v>1</v>
      </c>
      <c r="Y73" s="4">
        <v>117419.43</v>
      </c>
      <c r="Z73" s="4"/>
      <c r="AA73" s="4"/>
      <c r="AB73" s="4"/>
    </row>
    <row r="74" spans="1:206">
      <c r="A74" s="4">
        <v>50</v>
      </c>
      <c r="B74" s="4">
        <v>1</v>
      </c>
      <c r="C74" s="4">
        <v>0</v>
      </c>
      <c r="D74" s="4">
        <v>2</v>
      </c>
      <c r="E74" s="4">
        <v>0</v>
      </c>
      <c r="F74" s="4">
        <f>ROUND(ROUND(F73*0.2,2),O74)</f>
        <v>23483.89</v>
      </c>
      <c r="G74" s="4" t="s">
        <v>121</v>
      </c>
      <c r="H74" s="4" t="s">
        <v>122</v>
      </c>
      <c r="I74" s="4"/>
      <c r="J74" s="4"/>
      <c r="K74" s="4">
        <v>212</v>
      </c>
      <c r="L74" s="4">
        <v>38</v>
      </c>
      <c r="M74" s="4">
        <v>1</v>
      </c>
      <c r="N74" s="4" t="s">
        <v>6</v>
      </c>
      <c r="O74" s="4">
        <v>2</v>
      </c>
      <c r="P74" s="4"/>
      <c r="Q74" s="4"/>
      <c r="R74" s="4"/>
      <c r="S74" s="4"/>
      <c r="T74" s="4"/>
      <c r="U74" s="4"/>
      <c r="V74" s="4"/>
      <c r="W74" s="4">
        <v>23483.89</v>
      </c>
      <c r="X74" s="4">
        <v>1</v>
      </c>
      <c r="Y74" s="4">
        <v>23483.89</v>
      </c>
      <c r="Z74" s="4"/>
      <c r="AA74" s="4"/>
      <c r="AB74" s="4"/>
    </row>
    <row r="75" spans="1:206">
      <c r="A75" s="4">
        <v>50</v>
      </c>
      <c r="B75" s="4">
        <v>1</v>
      </c>
      <c r="C75" s="4">
        <v>0</v>
      </c>
      <c r="D75" s="4">
        <v>2</v>
      </c>
      <c r="E75" s="4">
        <v>213</v>
      </c>
      <c r="F75" s="4">
        <f>ROUND(ROUND(F73+F74,2),O75)</f>
        <v>140903.32</v>
      </c>
      <c r="G75" s="4" t="s">
        <v>123</v>
      </c>
      <c r="H75" s="4" t="s">
        <v>124</v>
      </c>
      <c r="I75" s="4"/>
      <c r="J75" s="4"/>
      <c r="K75" s="4">
        <v>212</v>
      </c>
      <c r="L75" s="4">
        <v>39</v>
      </c>
      <c r="M75" s="4">
        <v>1</v>
      </c>
      <c r="N75" s="4" t="s">
        <v>6</v>
      </c>
      <c r="O75" s="4">
        <v>2</v>
      </c>
      <c r="P75" s="4"/>
      <c r="Q75" s="4"/>
      <c r="R75" s="4"/>
      <c r="S75" s="4"/>
      <c r="T75" s="4"/>
      <c r="U75" s="4"/>
      <c r="V75" s="4"/>
      <c r="W75" s="4">
        <v>140903.32</v>
      </c>
      <c r="X75" s="4">
        <v>1</v>
      </c>
      <c r="Y75" s="4">
        <v>140903.32</v>
      </c>
      <c r="Z75" s="4"/>
      <c r="AA75" s="4"/>
      <c r="AB75" s="4"/>
    </row>
    <row r="77" spans="1:206">
      <c r="A77" s="1">
        <v>4</v>
      </c>
      <c r="B77" s="1">
        <v>1</v>
      </c>
      <c r="C77" s="1"/>
      <c r="D77" s="1">
        <f>ROW(A88)</f>
        <v>88</v>
      </c>
      <c r="E77" s="1"/>
      <c r="F77" s="1" t="s">
        <v>15</v>
      </c>
      <c r="G77" s="1" t="s">
        <v>125</v>
      </c>
      <c r="H77" s="1" t="s">
        <v>6</v>
      </c>
      <c r="I77" s="1">
        <v>0</v>
      </c>
      <c r="J77" s="1"/>
      <c r="K77" s="1">
        <v>0</v>
      </c>
      <c r="L77" s="1"/>
      <c r="M77" s="1" t="s">
        <v>6</v>
      </c>
      <c r="N77" s="1"/>
      <c r="O77" s="1"/>
      <c r="P77" s="1"/>
      <c r="Q77" s="1"/>
      <c r="R77" s="1"/>
      <c r="S77" s="1">
        <v>0</v>
      </c>
      <c r="T77" s="1"/>
      <c r="U77" s="1" t="s">
        <v>6</v>
      </c>
      <c r="V77" s="1">
        <v>0</v>
      </c>
      <c r="W77" s="1"/>
      <c r="X77" s="1"/>
      <c r="Y77" s="1"/>
      <c r="Z77" s="1"/>
      <c r="AA77" s="1"/>
      <c r="AB77" s="1" t="s">
        <v>6</v>
      </c>
      <c r="AC77" s="1" t="s">
        <v>6</v>
      </c>
      <c r="AD77" s="1" t="s">
        <v>6</v>
      </c>
      <c r="AE77" s="1" t="s">
        <v>6</v>
      </c>
      <c r="AF77" s="1" t="s">
        <v>6</v>
      </c>
      <c r="AG77" s="1" t="s">
        <v>6</v>
      </c>
      <c r="AH77" s="1"/>
      <c r="AI77" s="1"/>
      <c r="AJ77" s="1"/>
      <c r="AK77" s="1"/>
      <c r="AL77" s="1"/>
      <c r="AM77" s="1"/>
      <c r="AN77" s="1"/>
      <c r="AO77" s="1"/>
      <c r="AP77" s="1" t="s">
        <v>6</v>
      </c>
      <c r="AQ77" s="1" t="s">
        <v>6</v>
      </c>
      <c r="AR77" s="1" t="s">
        <v>6</v>
      </c>
      <c r="AS77" s="1"/>
      <c r="AT77" s="1"/>
      <c r="AU77" s="1"/>
      <c r="AV77" s="1"/>
      <c r="AW77" s="1"/>
      <c r="AX77" s="1"/>
      <c r="AY77" s="1"/>
      <c r="AZ77" s="1" t="s">
        <v>6</v>
      </c>
      <c r="BA77" s="1"/>
      <c r="BB77" s="1" t="s">
        <v>6</v>
      </c>
      <c r="BC77" s="1" t="s">
        <v>6</v>
      </c>
      <c r="BD77" s="1" t="s">
        <v>6</v>
      </c>
      <c r="BE77" s="1" t="s">
        <v>6</v>
      </c>
      <c r="BF77" s="1" t="s">
        <v>6</v>
      </c>
      <c r="BG77" s="1" t="s">
        <v>6</v>
      </c>
      <c r="BH77" s="1" t="s">
        <v>6</v>
      </c>
      <c r="BI77" s="1" t="s">
        <v>6</v>
      </c>
      <c r="BJ77" s="1" t="s">
        <v>6</v>
      </c>
      <c r="BK77" s="1" t="s">
        <v>6</v>
      </c>
      <c r="BL77" s="1" t="s">
        <v>6</v>
      </c>
      <c r="BM77" s="1" t="s">
        <v>6</v>
      </c>
      <c r="BN77" s="1" t="s">
        <v>6</v>
      </c>
      <c r="BO77" s="1" t="s">
        <v>6</v>
      </c>
      <c r="BP77" s="1" t="s">
        <v>6</v>
      </c>
      <c r="BQ77" s="1"/>
      <c r="BR77" s="1"/>
      <c r="BS77" s="1"/>
      <c r="BT77" s="1"/>
      <c r="BU77" s="1"/>
      <c r="BV77" s="1"/>
      <c r="BW77" s="1"/>
      <c r="BX77" s="1">
        <v>0</v>
      </c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>
        <v>0</v>
      </c>
    </row>
    <row r="79" spans="1:206">
      <c r="A79" s="2">
        <v>52</v>
      </c>
      <c r="B79" s="2">
        <f t="shared" ref="B79:G79" si="37">B88</f>
        <v>1</v>
      </c>
      <c r="C79" s="2">
        <f t="shared" si="37"/>
        <v>4</v>
      </c>
      <c r="D79" s="2">
        <f t="shared" si="37"/>
        <v>77</v>
      </c>
      <c r="E79" s="2">
        <f t="shared" si="37"/>
        <v>0</v>
      </c>
      <c r="F79" s="2" t="str">
        <f t="shared" si="37"/>
        <v>Новый раздел</v>
      </c>
      <c r="G79" s="2" t="str">
        <f t="shared" si="37"/>
        <v>Материалы, не учтенные ценником</v>
      </c>
      <c r="H79" s="2"/>
      <c r="I79" s="2"/>
      <c r="J79" s="2"/>
      <c r="K79" s="2"/>
      <c r="L79" s="2"/>
      <c r="M79" s="2"/>
      <c r="N79" s="2"/>
      <c r="O79" s="2">
        <f t="shared" ref="O79:AT79" si="38">O88</f>
        <v>2443363.56</v>
      </c>
      <c r="P79" s="2">
        <f t="shared" si="38"/>
        <v>2443363.56</v>
      </c>
      <c r="Q79" s="2">
        <f t="shared" si="38"/>
        <v>0</v>
      </c>
      <c r="R79" s="2">
        <f t="shared" si="38"/>
        <v>0</v>
      </c>
      <c r="S79" s="2">
        <f t="shared" si="38"/>
        <v>0</v>
      </c>
      <c r="T79" s="2">
        <f t="shared" si="38"/>
        <v>0</v>
      </c>
      <c r="U79" s="2">
        <f t="shared" si="38"/>
        <v>0</v>
      </c>
      <c r="V79" s="2">
        <f t="shared" si="38"/>
        <v>0</v>
      </c>
      <c r="W79" s="2">
        <f t="shared" si="38"/>
        <v>0</v>
      </c>
      <c r="X79" s="2">
        <f t="shared" si="38"/>
        <v>0</v>
      </c>
      <c r="Y79" s="2">
        <f t="shared" si="38"/>
        <v>0</v>
      </c>
      <c r="Z79" s="2">
        <f t="shared" si="38"/>
        <v>0</v>
      </c>
      <c r="AA79" s="2">
        <f t="shared" si="38"/>
        <v>0</v>
      </c>
      <c r="AB79" s="2">
        <f t="shared" si="38"/>
        <v>2443363.56</v>
      </c>
      <c r="AC79" s="2">
        <f t="shared" si="38"/>
        <v>2443363.56</v>
      </c>
      <c r="AD79" s="2">
        <f t="shared" si="38"/>
        <v>0</v>
      </c>
      <c r="AE79" s="2">
        <f t="shared" si="38"/>
        <v>0</v>
      </c>
      <c r="AF79" s="2">
        <f t="shared" si="38"/>
        <v>0</v>
      </c>
      <c r="AG79" s="2">
        <f t="shared" si="38"/>
        <v>0</v>
      </c>
      <c r="AH79" s="2">
        <f t="shared" si="38"/>
        <v>0</v>
      </c>
      <c r="AI79" s="2">
        <f t="shared" si="38"/>
        <v>0</v>
      </c>
      <c r="AJ79" s="2">
        <f t="shared" si="38"/>
        <v>0</v>
      </c>
      <c r="AK79" s="2">
        <f t="shared" si="38"/>
        <v>0</v>
      </c>
      <c r="AL79" s="2">
        <f t="shared" si="38"/>
        <v>0</v>
      </c>
      <c r="AM79" s="2">
        <f t="shared" si="38"/>
        <v>0</v>
      </c>
      <c r="AN79" s="2">
        <f t="shared" si="38"/>
        <v>0</v>
      </c>
      <c r="AO79" s="2">
        <f t="shared" si="38"/>
        <v>0</v>
      </c>
      <c r="AP79" s="2">
        <f t="shared" si="38"/>
        <v>0</v>
      </c>
      <c r="AQ79" s="2">
        <f t="shared" si="38"/>
        <v>0</v>
      </c>
      <c r="AR79" s="2">
        <f t="shared" si="38"/>
        <v>2443363.56</v>
      </c>
      <c r="AS79" s="2">
        <f t="shared" si="38"/>
        <v>2443363.56</v>
      </c>
      <c r="AT79" s="2">
        <f t="shared" si="38"/>
        <v>0</v>
      </c>
      <c r="AU79" s="2">
        <f t="shared" ref="AU79:BZ79" si="39">AU88</f>
        <v>0</v>
      </c>
      <c r="AV79" s="2">
        <f t="shared" si="39"/>
        <v>2443363.56</v>
      </c>
      <c r="AW79" s="2">
        <f t="shared" si="39"/>
        <v>2443363.56</v>
      </c>
      <c r="AX79" s="2">
        <f t="shared" si="39"/>
        <v>0</v>
      </c>
      <c r="AY79" s="2">
        <f t="shared" si="39"/>
        <v>2443363.56</v>
      </c>
      <c r="AZ79" s="2">
        <f t="shared" si="39"/>
        <v>0</v>
      </c>
      <c r="BA79" s="2">
        <f t="shared" si="39"/>
        <v>0</v>
      </c>
      <c r="BB79" s="2">
        <f t="shared" si="39"/>
        <v>0</v>
      </c>
      <c r="BC79" s="2">
        <f t="shared" si="39"/>
        <v>0</v>
      </c>
      <c r="BD79" s="2">
        <f t="shared" si="39"/>
        <v>0</v>
      </c>
      <c r="BE79" s="2">
        <f t="shared" si="39"/>
        <v>0</v>
      </c>
      <c r="BF79" s="2">
        <f t="shared" si="39"/>
        <v>0</v>
      </c>
      <c r="BG79" s="2">
        <f t="shared" si="39"/>
        <v>0</v>
      </c>
      <c r="BH79" s="2">
        <f t="shared" si="39"/>
        <v>0</v>
      </c>
      <c r="BI79" s="2">
        <f t="shared" si="39"/>
        <v>0</v>
      </c>
      <c r="BJ79" s="2">
        <f t="shared" si="39"/>
        <v>0</v>
      </c>
      <c r="BK79" s="2">
        <f t="shared" si="39"/>
        <v>0</v>
      </c>
      <c r="BL79" s="2">
        <f t="shared" si="39"/>
        <v>0</v>
      </c>
      <c r="BM79" s="2">
        <f t="shared" si="39"/>
        <v>0</v>
      </c>
      <c r="BN79" s="2">
        <f t="shared" si="39"/>
        <v>0</v>
      </c>
      <c r="BO79" s="2">
        <f t="shared" si="39"/>
        <v>0</v>
      </c>
      <c r="BP79" s="2">
        <f t="shared" si="39"/>
        <v>0</v>
      </c>
      <c r="BQ79" s="2">
        <f t="shared" si="39"/>
        <v>0</v>
      </c>
      <c r="BR79" s="2">
        <f t="shared" si="39"/>
        <v>0</v>
      </c>
      <c r="BS79" s="2">
        <f t="shared" si="39"/>
        <v>0</v>
      </c>
      <c r="BT79" s="2">
        <f t="shared" si="39"/>
        <v>0</v>
      </c>
      <c r="BU79" s="2">
        <f t="shared" si="39"/>
        <v>0</v>
      </c>
      <c r="BV79" s="2">
        <f t="shared" si="39"/>
        <v>0</v>
      </c>
      <c r="BW79" s="2">
        <f t="shared" si="39"/>
        <v>0</v>
      </c>
      <c r="BX79" s="2">
        <f t="shared" si="39"/>
        <v>0</v>
      </c>
      <c r="BY79" s="2">
        <f t="shared" si="39"/>
        <v>0</v>
      </c>
      <c r="BZ79" s="2">
        <f t="shared" si="39"/>
        <v>0</v>
      </c>
      <c r="CA79" s="2">
        <f t="shared" ref="CA79:DF79" si="40">CA88</f>
        <v>2443363.56</v>
      </c>
      <c r="CB79" s="2">
        <f t="shared" si="40"/>
        <v>2443363.56</v>
      </c>
      <c r="CC79" s="2">
        <f t="shared" si="40"/>
        <v>0</v>
      </c>
      <c r="CD79" s="2">
        <f t="shared" si="40"/>
        <v>0</v>
      </c>
      <c r="CE79" s="2">
        <f t="shared" si="40"/>
        <v>2443363.56</v>
      </c>
      <c r="CF79" s="2">
        <f t="shared" si="40"/>
        <v>2443363.56</v>
      </c>
      <c r="CG79" s="2">
        <f t="shared" si="40"/>
        <v>0</v>
      </c>
      <c r="CH79" s="2">
        <f t="shared" si="40"/>
        <v>2443363.56</v>
      </c>
      <c r="CI79" s="2">
        <f t="shared" si="40"/>
        <v>0</v>
      </c>
      <c r="CJ79" s="2">
        <f t="shared" si="40"/>
        <v>0</v>
      </c>
      <c r="CK79" s="2">
        <f t="shared" si="40"/>
        <v>0</v>
      </c>
      <c r="CL79" s="2">
        <f t="shared" si="40"/>
        <v>0</v>
      </c>
      <c r="CM79" s="2">
        <f t="shared" si="40"/>
        <v>0</v>
      </c>
      <c r="CN79" s="2">
        <f t="shared" si="40"/>
        <v>0</v>
      </c>
      <c r="CO79" s="2">
        <f t="shared" si="40"/>
        <v>0</v>
      </c>
      <c r="CP79" s="2">
        <f t="shared" si="40"/>
        <v>0</v>
      </c>
      <c r="CQ79" s="2">
        <f t="shared" si="40"/>
        <v>0</v>
      </c>
      <c r="CR79" s="2">
        <f t="shared" si="40"/>
        <v>0</v>
      </c>
      <c r="CS79" s="2">
        <f t="shared" si="40"/>
        <v>0</v>
      </c>
      <c r="CT79" s="2">
        <f t="shared" si="40"/>
        <v>0</v>
      </c>
      <c r="CU79" s="2">
        <f t="shared" si="40"/>
        <v>0</v>
      </c>
      <c r="CV79" s="2">
        <f t="shared" si="40"/>
        <v>0</v>
      </c>
      <c r="CW79" s="2">
        <f t="shared" si="40"/>
        <v>0</v>
      </c>
      <c r="CX79" s="2">
        <f t="shared" si="40"/>
        <v>0</v>
      </c>
      <c r="CY79" s="2">
        <f t="shared" si="40"/>
        <v>0</v>
      </c>
      <c r="CZ79" s="2">
        <f t="shared" si="40"/>
        <v>0</v>
      </c>
      <c r="DA79" s="2">
        <f t="shared" si="40"/>
        <v>0</v>
      </c>
      <c r="DB79" s="2">
        <f t="shared" si="40"/>
        <v>0</v>
      </c>
      <c r="DC79" s="2">
        <f t="shared" si="40"/>
        <v>0</v>
      </c>
      <c r="DD79" s="2">
        <f t="shared" si="40"/>
        <v>0</v>
      </c>
      <c r="DE79" s="2">
        <f t="shared" si="40"/>
        <v>0</v>
      </c>
      <c r="DF79" s="2">
        <f t="shared" si="40"/>
        <v>0</v>
      </c>
      <c r="DG79" s="3">
        <f t="shared" ref="DG79:EL79" si="41">DG88</f>
        <v>0</v>
      </c>
      <c r="DH79" s="3">
        <f t="shared" si="41"/>
        <v>0</v>
      </c>
      <c r="DI79" s="3">
        <f t="shared" si="41"/>
        <v>0</v>
      </c>
      <c r="DJ79" s="3">
        <f t="shared" si="41"/>
        <v>0</v>
      </c>
      <c r="DK79" s="3">
        <f t="shared" si="41"/>
        <v>0</v>
      </c>
      <c r="DL79" s="3">
        <f t="shared" si="41"/>
        <v>0</v>
      </c>
      <c r="DM79" s="3">
        <f t="shared" si="41"/>
        <v>0</v>
      </c>
      <c r="DN79" s="3">
        <f t="shared" si="41"/>
        <v>0</v>
      </c>
      <c r="DO79" s="3">
        <f t="shared" si="41"/>
        <v>0</v>
      </c>
      <c r="DP79" s="3">
        <f t="shared" si="41"/>
        <v>0</v>
      </c>
      <c r="DQ79" s="3">
        <f t="shared" si="41"/>
        <v>0</v>
      </c>
      <c r="DR79" s="3">
        <f t="shared" si="41"/>
        <v>0</v>
      </c>
      <c r="DS79" s="3">
        <f t="shared" si="41"/>
        <v>0</v>
      </c>
      <c r="DT79" s="3">
        <f t="shared" si="41"/>
        <v>0</v>
      </c>
      <c r="DU79" s="3">
        <f t="shared" si="41"/>
        <v>0</v>
      </c>
      <c r="DV79" s="3">
        <f t="shared" si="41"/>
        <v>0</v>
      </c>
      <c r="DW79" s="3">
        <f t="shared" si="41"/>
        <v>0</v>
      </c>
      <c r="DX79" s="3">
        <f t="shared" si="41"/>
        <v>0</v>
      </c>
      <c r="DY79" s="3">
        <f t="shared" si="41"/>
        <v>0</v>
      </c>
      <c r="DZ79" s="3">
        <f t="shared" si="41"/>
        <v>0</v>
      </c>
      <c r="EA79" s="3">
        <f t="shared" si="41"/>
        <v>0</v>
      </c>
      <c r="EB79" s="3">
        <f t="shared" si="41"/>
        <v>0</v>
      </c>
      <c r="EC79" s="3">
        <f t="shared" si="41"/>
        <v>0</v>
      </c>
      <c r="ED79" s="3">
        <f t="shared" si="41"/>
        <v>0</v>
      </c>
      <c r="EE79" s="3">
        <f t="shared" si="41"/>
        <v>0</v>
      </c>
      <c r="EF79" s="3">
        <f t="shared" si="41"/>
        <v>0</v>
      </c>
      <c r="EG79" s="3">
        <f t="shared" si="41"/>
        <v>0</v>
      </c>
      <c r="EH79" s="3">
        <f t="shared" si="41"/>
        <v>0</v>
      </c>
      <c r="EI79" s="3">
        <f t="shared" si="41"/>
        <v>0</v>
      </c>
      <c r="EJ79" s="3">
        <f t="shared" si="41"/>
        <v>0</v>
      </c>
      <c r="EK79" s="3">
        <f t="shared" si="41"/>
        <v>0</v>
      </c>
      <c r="EL79" s="3">
        <f t="shared" si="41"/>
        <v>0</v>
      </c>
      <c r="EM79" s="3">
        <f t="shared" ref="EM79:FR79" si="42">EM88</f>
        <v>0</v>
      </c>
      <c r="EN79" s="3">
        <f t="shared" si="42"/>
        <v>0</v>
      </c>
      <c r="EO79" s="3">
        <f t="shared" si="42"/>
        <v>0</v>
      </c>
      <c r="EP79" s="3">
        <f t="shared" si="42"/>
        <v>0</v>
      </c>
      <c r="EQ79" s="3">
        <f t="shared" si="42"/>
        <v>0</v>
      </c>
      <c r="ER79" s="3">
        <f t="shared" si="42"/>
        <v>0</v>
      </c>
      <c r="ES79" s="3">
        <f t="shared" si="42"/>
        <v>0</v>
      </c>
      <c r="ET79" s="3">
        <f t="shared" si="42"/>
        <v>0</v>
      </c>
      <c r="EU79" s="3">
        <f t="shared" si="42"/>
        <v>0</v>
      </c>
      <c r="EV79" s="3">
        <f t="shared" si="42"/>
        <v>0</v>
      </c>
      <c r="EW79" s="3">
        <f t="shared" si="42"/>
        <v>0</v>
      </c>
      <c r="EX79" s="3">
        <f t="shared" si="42"/>
        <v>0</v>
      </c>
      <c r="EY79" s="3">
        <f t="shared" si="42"/>
        <v>0</v>
      </c>
      <c r="EZ79" s="3">
        <f t="shared" si="42"/>
        <v>0</v>
      </c>
      <c r="FA79" s="3">
        <f t="shared" si="42"/>
        <v>0</v>
      </c>
      <c r="FB79" s="3">
        <f t="shared" si="42"/>
        <v>0</v>
      </c>
      <c r="FC79" s="3">
        <f t="shared" si="42"/>
        <v>0</v>
      </c>
      <c r="FD79" s="3">
        <f t="shared" si="42"/>
        <v>0</v>
      </c>
      <c r="FE79" s="3">
        <f t="shared" si="42"/>
        <v>0</v>
      </c>
      <c r="FF79" s="3">
        <f t="shared" si="42"/>
        <v>0</v>
      </c>
      <c r="FG79" s="3">
        <f t="shared" si="42"/>
        <v>0</v>
      </c>
      <c r="FH79" s="3">
        <f t="shared" si="42"/>
        <v>0</v>
      </c>
      <c r="FI79" s="3">
        <f t="shared" si="42"/>
        <v>0</v>
      </c>
      <c r="FJ79" s="3">
        <f t="shared" si="42"/>
        <v>0</v>
      </c>
      <c r="FK79" s="3">
        <f t="shared" si="42"/>
        <v>0</v>
      </c>
      <c r="FL79" s="3">
        <f t="shared" si="42"/>
        <v>0</v>
      </c>
      <c r="FM79" s="3">
        <f t="shared" si="42"/>
        <v>0</v>
      </c>
      <c r="FN79" s="3">
        <f t="shared" si="42"/>
        <v>0</v>
      </c>
      <c r="FO79" s="3">
        <f t="shared" si="42"/>
        <v>0</v>
      </c>
      <c r="FP79" s="3">
        <f t="shared" si="42"/>
        <v>0</v>
      </c>
      <c r="FQ79" s="3">
        <f t="shared" si="42"/>
        <v>0</v>
      </c>
      <c r="FR79" s="3">
        <f t="shared" si="42"/>
        <v>0</v>
      </c>
      <c r="FS79" s="3">
        <f t="shared" ref="FS79:GX79" si="43">FS88</f>
        <v>0</v>
      </c>
      <c r="FT79" s="3">
        <f t="shared" si="43"/>
        <v>0</v>
      </c>
      <c r="FU79" s="3">
        <f t="shared" si="43"/>
        <v>0</v>
      </c>
      <c r="FV79" s="3">
        <f t="shared" si="43"/>
        <v>0</v>
      </c>
      <c r="FW79" s="3">
        <f t="shared" si="43"/>
        <v>0</v>
      </c>
      <c r="FX79" s="3">
        <f t="shared" si="43"/>
        <v>0</v>
      </c>
      <c r="FY79" s="3">
        <f t="shared" si="43"/>
        <v>0</v>
      </c>
      <c r="FZ79" s="3">
        <f t="shared" si="43"/>
        <v>0</v>
      </c>
      <c r="GA79" s="3">
        <f t="shared" si="43"/>
        <v>0</v>
      </c>
      <c r="GB79" s="3">
        <f t="shared" si="43"/>
        <v>0</v>
      </c>
      <c r="GC79" s="3">
        <f t="shared" si="43"/>
        <v>0</v>
      </c>
      <c r="GD79" s="3">
        <f t="shared" si="43"/>
        <v>0</v>
      </c>
      <c r="GE79" s="3">
        <f t="shared" si="43"/>
        <v>0</v>
      </c>
      <c r="GF79" s="3">
        <f t="shared" si="43"/>
        <v>0</v>
      </c>
      <c r="GG79" s="3">
        <f t="shared" si="43"/>
        <v>0</v>
      </c>
      <c r="GH79" s="3">
        <f t="shared" si="43"/>
        <v>0</v>
      </c>
      <c r="GI79" s="3">
        <f t="shared" si="43"/>
        <v>0</v>
      </c>
      <c r="GJ79" s="3">
        <f t="shared" si="43"/>
        <v>0</v>
      </c>
      <c r="GK79" s="3">
        <f t="shared" si="43"/>
        <v>0</v>
      </c>
      <c r="GL79" s="3">
        <f t="shared" si="43"/>
        <v>0</v>
      </c>
      <c r="GM79" s="3">
        <f t="shared" si="43"/>
        <v>0</v>
      </c>
      <c r="GN79" s="3">
        <f t="shared" si="43"/>
        <v>0</v>
      </c>
      <c r="GO79" s="3">
        <f t="shared" si="43"/>
        <v>0</v>
      </c>
      <c r="GP79" s="3">
        <f t="shared" si="43"/>
        <v>0</v>
      </c>
      <c r="GQ79" s="3">
        <f t="shared" si="43"/>
        <v>0</v>
      </c>
      <c r="GR79" s="3">
        <f t="shared" si="43"/>
        <v>0</v>
      </c>
      <c r="GS79" s="3">
        <f t="shared" si="43"/>
        <v>0</v>
      </c>
      <c r="GT79" s="3">
        <f t="shared" si="43"/>
        <v>0</v>
      </c>
      <c r="GU79" s="3">
        <f t="shared" si="43"/>
        <v>0</v>
      </c>
      <c r="GV79" s="3">
        <f t="shared" si="43"/>
        <v>0</v>
      </c>
      <c r="GW79" s="3">
        <f t="shared" si="43"/>
        <v>0</v>
      </c>
      <c r="GX79" s="3">
        <f t="shared" si="43"/>
        <v>0</v>
      </c>
    </row>
    <row r="81" spans="1:245">
      <c r="A81">
        <v>17</v>
      </c>
      <c r="B81">
        <v>1</v>
      </c>
      <c r="E81" t="s">
        <v>126</v>
      </c>
      <c r="F81" t="s">
        <v>127</v>
      </c>
      <c r="G81" t="s">
        <v>128</v>
      </c>
      <c r="H81" t="s">
        <v>20</v>
      </c>
      <c r="I81">
        <v>187</v>
      </c>
      <c r="J81">
        <v>0</v>
      </c>
      <c r="K81">
        <v>187</v>
      </c>
      <c r="O81">
        <f t="shared" ref="O81:O86" si="44">ROUND(CP81,2)</f>
        <v>2259895</v>
      </c>
      <c r="P81">
        <f t="shared" ref="P81:P86" si="45">ROUND(CQ81*I81,2)</f>
        <v>2259895</v>
      </c>
      <c r="Q81">
        <f t="shared" ref="Q81:Q86" si="46">ROUND(CR81*I81,2)</f>
        <v>0</v>
      </c>
      <c r="R81">
        <f t="shared" ref="R81:R86" si="47">ROUND(CS81*I81,2)</f>
        <v>0</v>
      </c>
      <c r="S81">
        <f t="shared" ref="S81:S86" si="48">ROUND(CT81*I81,2)</f>
        <v>0</v>
      </c>
      <c r="T81">
        <f t="shared" ref="T81:T86" si="49">ROUND(CU81*I81,2)</f>
        <v>0</v>
      </c>
      <c r="U81">
        <f t="shared" ref="U81:U86" si="50">CV81*I81</f>
        <v>0</v>
      </c>
      <c r="V81">
        <f t="shared" ref="V81:V86" si="51">CW81*I81</f>
        <v>0</v>
      </c>
      <c r="W81">
        <f t="shared" ref="W81:W86" si="52">ROUND(CX81*I81,2)</f>
        <v>0</v>
      </c>
      <c r="X81">
        <f t="shared" ref="X81:Y86" si="53">ROUND(CY81,2)</f>
        <v>0</v>
      </c>
      <c r="Y81">
        <f t="shared" si="53"/>
        <v>0</v>
      </c>
      <c r="AA81">
        <v>41853493</v>
      </c>
      <c r="AB81">
        <f t="shared" ref="AB81:AB86" si="54">ROUND((AC81+AD81+AF81),2)</f>
        <v>12085</v>
      </c>
      <c r="AC81">
        <f t="shared" ref="AC81:AC86" si="55">ROUND((ES81),2)</f>
        <v>12085</v>
      </c>
      <c r="AD81">
        <f t="shared" ref="AD81:AD86" si="56">ROUND((((ET81)-(EU81))+AE81),2)</f>
        <v>0</v>
      </c>
      <c r="AE81">
        <f t="shared" ref="AE81:AF86" si="57">ROUND((EU81),2)</f>
        <v>0</v>
      </c>
      <c r="AF81">
        <f t="shared" si="57"/>
        <v>0</v>
      </c>
      <c r="AG81">
        <f t="shared" ref="AG81:AG86" si="58">ROUND((AP81),2)</f>
        <v>0</v>
      </c>
      <c r="AH81">
        <f t="shared" ref="AH81:AI86" si="59">(EW81)</f>
        <v>0</v>
      </c>
      <c r="AI81">
        <f t="shared" si="59"/>
        <v>0</v>
      </c>
      <c r="AJ81">
        <f t="shared" ref="AJ81:AJ86" si="60">(AS81)</f>
        <v>0</v>
      </c>
      <c r="AK81">
        <v>12085</v>
      </c>
      <c r="AL81">
        <v>12085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6</v>
      </c>
      <c r="BE81" t="s">
        <v>6</v>
      </c>
      <c r="BF81" t="s">
        <v>6</v>
      </c>
      <c r="BG81" t="s">
        <v>6</v>
      </c>
      <c r="BH81">
        <v>3</v>
      </c>
      <c r="BI81">
        <v>1</v>
      </c>
      <c r="BJ81" t="s">
        <v>6</v>
      </c>
      <c r="BM81">
        <v>1100</v>
      </c>
      <c r="BN81">
        <v>0</v>
      </c>
      <c r="BO81" t="s">
        <v>6</v>
      </c>
      <c r="BP81">
        <v>0</v>
      </c>
      <c r="BQ81">
        <v>8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6</v>
      </c>
      <c r="BZ81">
        <v>0</v>
      </c>
      <c r="CA81">
        <v>0</v>
      </c>
      <c r="CB81" t="s">
        <v>6</v>
      </c>
      <c r="CE81">
        <v>0</v>
      </c>
      <c r="CF81">
        <v>0</v>
      </c>
      <c r="CG81">
        <v>0</v>
      </c>
      <c r="CM81">
        <v>0</v>
      </c>
      <c r="CN81" t="s">
        <v>6</v>
      </c>
      <c r="CO81">
        <v>0</v>
      </c>
      <c r="CP81">
        <f t="shared" ref="CP81:CP86" si="61">(P81+Q81+S81+R81)</f>
        <v>2259895</v>
      </c>
      <c r="CQ81">
        <f t="shared" ref="CQ81:CQ86" si="62">ROUND(AL81*BC81,2)</f>
        <v>12085</v>
      </c>
      <c r="CR81">
        <f t="shared" ref="CR81:CR86" si="63">ROUND(AM81*BB81,2)</f>
        <v>0</v>
      </c>
      <c r="CS81">
        <f t="shared" ref="CS81:CS86" si="64">ROUND(AN81*BS81,2)</f>
        <v>0</v>
      </c>
      <c r="CT81">
        <f t="shared" ref="CT81:CT86" si="65">ROUND(AO81*BA81,2)</f>
        <v>0</v>
      </c>
      <c r="CU81">
        <f t="shared" ref="CU81:CX86" si="66">AG81</f>
        <v>0</v>
      </c>
      <c r="CV81">
        <f t="shared" si="66"/>
        <v>0</v>
      </c>
      <c r="CW81">
        <f t="shared" si="66"/>
        <v>0</v>
      </c>
      <c r="CX81">
        <f t="shared" si="66"/>
        <v>0</v>
      </c>
      <c r="CY81">
        <f t="shared" ref="CY81:CY86" si="67">(((S81+R81)*AT81)/100)</f>
        <v>0</v>
      </c>
      <c r="CZ81">
        <f t="shared" ref="CZ81:CZ86" si="68">(((S81+R81)*AU81)/100)</f>
        <v>0</v>
      </c>
      <c r="DC81" t="s">
        <v>6</v>
      </c>
      <c r="DD81" t="s">
        <v>6</v>
      </c>
      <c r="DE81" t="s">
        <v>6</v>
      </c>
      <c r="DF81" t="s">
        <v>6</v>
      </c>
      <c r="DG81" t="s">
        <v>6</v>
      </c>
      <c r="DH81" t="s">
        <v>6</v>
      </c>
      <c r="DI81" t="s">
        <v>6</v>
      </c>
      <c r="DJ81" t="s">
        <v>6</v>
      </c>
      <c r="DK81" t="s">
        <v>6</v>
      </c>
      <c r="DL81" t="s">
        <v>6</v>
      </c>
      <c r="DM81" t="s">
        <v>6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20</v>
      </c>
      <c r="DW81" t="s">
        <v>20</v>
      </c>
      <c r="DX81">
        <v>1</v>
      </c>
      <c r="DZ81" t="s">
        <v>6</v>
      </c>
      <c r="EA81" t="s">
        <v>6</v>
      </c>
      <c r="EB81" t="s">
        <v>6</v>
      </c>
      <c r="EC81" t="s">
        <v>6</v>
      </c>
      <c r="EE81">
        <v>40604762</v>
      </c>
      <c r="EF81">
        <v>8</v>
      </c>
      <c r="EG81" t="s">
        <v>129</v>
      </c>
      <c r="EH81">
        <v>0</v>
      </c>
      <c r="EI81" t="s">
        <v>6</v>
      </c>
      <c r="EJ81">
        <v>1</v>
      </c>
      <c r="EK81">
        <v>1100</v>
      </c>
      <c r="EL81" t="s">
        <v>130</v>
      </c>
      <c r="EM81" t="s">
        <v>131</v>
      </c>
      <c r="EO81" t="s">
        <v>6</v>
      </c>
      <c r="EQ81">
        <v>0</v>
      </c>
      <c r="ER81">
        <v>12085</v>
      </c>
      <c r="ES81">
        <v>12085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ref="FR81:FR86" si="69">ROUND(IF(BI81=3,GM81,0),2)</f>
        <v>0</v>
      </c>
      <c r="FS81">
        <v>0</v>
      </c>
      <c r="FX81">
        <v>0</v>
      </c>
      <c r="FY81">
        <v>0</v>
      </c>
      <c r="GA81" t="s">
        <v>132</v>
      </c>
      <c r="GD81">
        <v>1</v>
      </c>
      <c r="GF81">
        <v>-186043003</v>
      </c>
      <c r="GG81">
        <v>2</v>
      </c>
      <c r="GH81">
        <v>0</v>
      </c>
      <c r="GI81">
        <v>-2</v>
      </c>
      <c r="GJ81">
        <v>0</v>
      </c>
      <c r="GK81">
        <v>0</v>
      </c>
      <c r="GL81">
        <f t="shared" ref="GL81:GL86" si="70">ROUND(IF(AND(BH81=3,BI81=3,FS81&lt;&gt;0),P81,0),2)</f>
        <v>0</v>
      </c>
      <c r="GM81">
        <f t="shared" ref="GM81:GM86" si="71">ROUND(O81+X81+Y81,2)+GX81</f>
        <v>2259895</v>
      </c>
      <c r="GN81">
        <f t="shared" ref="GN81:GN86" si="72">IF(OR(BI81=0,BI81=1),GM81,0)</f>
        <v>2259895</v>
      </c>
      <c r="GO81">
        <f t="shared" ref="GO81:GO86" si="73">IF(BI81=2,GM81,0)</f>
        <v>0</v>
      </c>
      <c r="GP81">
        <f t="shared" ref="GP81:GP86" si="74">IF(BI81=4,GM81+GX81,0)</f>
        <v>0</v>
      </c>
      <c r="GR81">
        <v>0</v>
      </c>
      <c r="GS81">
        <v>4</v>
      </c>
      <c r="GT81">
        <v>0</v>
      </c>
      <c r="GU81" t="s">
        <v>6</v>
      </c>
      <c r="GV81">
        <f t="shared" ref="GV81:GV86" si="75">ROUND((GT81),2)</f>
        <v>0</v>
      </c>
      <c r="GW81">
        <v>1</v>
      </c>
      <c r="GX81">
        <f t="shared" ref="GX81:GX86" si="76">ROUND(HC81*I81,2)</f>
        <v>0</v>
      </c>
      <c r="HA81">
        <v>0</v>
      </c>
      <c r="HB81">
        <v>0</v>
      </c>
      <c r="HC81">
        <f t="shared" ref="HC81:HC86" si="77">GV81*GW81</f>
        <v>0</v>
      </c>
      <c r="HE81" t="s">
        <v>6</v>
      </c>
      <c r="HF81" t="s">
        <v>6</v>
      </c>
      <c r="HM81" t="s">
        <v>6</v>
      </c>
      <c r="HN81" t="s">
        <v>6</v>
      </c>
      <c r="HO81" t="s">
        <v>6</v>
      </c>
      <c r="HP81" t="s">
        <v>6</v>
      </c>
      <c r="HQ81" t="s">
        <v>6</v>
      </c>
      <c r="IK81">
        <v>0</v>
      </c>
    </row>
    <row r="82" spans="1:245">
      <c r="A82">
        <v>17</v>
      </c>
      <c r="B82">
        <v>1</v>
      </c>
      <c r="E82" t="s">
        <v>133</v>
      </c>
      <c r="F82" t="s">
        <v>127</v>
      </c>
      <c r="G82" t="s">
        <v>134</v>
      </c>
      <c r="H82" t="s">
        <v>135</v>
      </c>
      <c r="I82">
        <v>748</v>
      </c>
      <c r="J82">
        <v>0</v>
      </c>
      <c r="K82">
        <v>748</v>
      </c>
      <c r="O82">
        <f t="shared" si="44"/>
        <v>27429.16</v>
      </c>
      <c r="P82">
        <f t="shared" si="45"/>
        <v>27429.16</v>
      </c>
      <c r="Q82">
        <f t="shared" si="46"/>
        <v>0</v>
      </c>
      <c r="R82">
        <f t="shared" si="47"/>
        <v>0</v>
      </c>
      <c r="S82">
        <f t="shared" si="48"/>
        <v>0</v>
      </c>
      <c r="T82">
        <f t="shared" si="49"/>
        <v>0</v>
      </c>
      <c r="U82">
        <f t="shared" si="50"/>
        <v>0</v>
      </c>
      <c r="V82">
        <f t="shared" si="51"/>
        <v>0</v>
      </c>
      <c r="W82">
        <f t="shared" si="52"/>
        <v>0</v>
      </c>
      <c r="X82">
        <f t="shared" si="53"/>
        <v>0</v>
      </c>
      <c r="Y82">
        <f t="shared" si="53"/>
        <v>0</v>
      </c>
      <c r="AA82">
        <v>41853493</v>
      </c>
      <c r="AB82">
        <f t="shared" si="54"/>
        <v>36.67</v>
      </c>
      <c r="AC82">
        <f t="shared" si="55"/>
        <v>36.67</v>
      </c>
      <c r="AD82">
        <f t="shared" si="56"/>
        <v>0</v>
      </c>
      <c r="AE82">
        <f t="shared" si="57"/>
        <v>0</v>
      </c>
      <c r="AF82">
        <f t="shared" si="57"/>
        <v>0</v>
      </c>
      <c r="AG82">
        <f t="shared" si="58"/>
        <v>0</v>
      </c>
      <c r="AH82">
        <f t="shared" si="59"/>
        <v>0</v>
      </c>
      <c r="AI82">
        <f t="shared" si="59"/>
        <v>0</v>
      </c>
      <c r="AJ82">
        <f t="shared" si="60"/>
        <v>0</v>
      </c>
      <c r="AK82">
        <v>36.67</v>
      </c>
      <c r="AL82">
        <v>36.67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6</v>
      </c>
      <c r="BE82" t="s">
        <v>6</v>
      </c>
      <c r="BF82" t="s">
        <v>6</v>
      </c>
      <c r="BG82" t="s">
        <v>6</v>
      </c>
      <c r="BH82">
        <v>3</v>
      </c>
      <c r="BI82">
        <v>1</v>
      </c>
      <c r="BJ82" t="s">
        <v>6</v>
      </c>
      <c r="BM82">
        <v>1100</v>
      </c>
      <c r="BN82">
        <v>0</v>
      </c>
      <c r="BO82" t="s">
        <v>6</v>
      </c>
      <c r="BP82">
        <v>0</v>
      </c>
      <c r="BQ82">
        <v>8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6</v>
      </c>
      <c r="BZ82">
        <v>0</v>
      </c>
      <c r="CA82">
        <v>0</v>
      </c>
      <c r="CB82" t="s">
        <v>6</v>
      </c>
      <c r="CE82">
        <v>0</v>
      </c>
      <c r="CF82">
        <v>0</v>
      </c>
      <c r="CG82">
        <v>0</v>
      </c>
      <c r="CM82">
        <v>0</v>
      </c>
      <c r="CN82" t="s">
        <v>6</v>
      </c>
      <c r="CO82">
        <v>0</v>
      </c>
      <c r="CP82">
        <f t="shared" si="61"/>
        <v>27429.16</v>
      </c>
      <c r="CQ82">
        <f t="shared" si="62"/>
        <v>36.67</v>
      </c>
      <c r="CR82">
        <f t="shared" si="63"/>
        <v>0</v>
      </c>
      <c r="CS82">
        <f t="shared" si="64"/>
        <v>0</v>
      </c>
      <c r="CT82">
        <f t="shared" si="65"/>
        <v>0</v>
      </c>
      <c r="CU82">
        <f t="shared" si="66"/>
        <v>0</v>
      </c>
      <c r="CV82">
        <f t="shared" si="66"/>
        <v>0</v>
      </c>
      <c r="CW82">
        <f t="shared" si="66"/>
        <v>0</v>
      </c>
      <c r="CX82">
        <f t="shared" si="66"/>
        <v>0</v>
      </c>
      <c r="CY82">
        <f t="shared" si="67"/>
        <v>0</v>
      </c>
      <c r="CZ82">
        <f t="shared" si="68"/>
        <v>0</v>
      </c>
      <c r="DC82" t="s">
        <v>6</v>
      </c>
      <c r="DD82" t="s">
        <v>6</v>
      </c>
      <c r="DE82" t="s">
        <v>6</v>
      </c>
      <c r="DF82" t="s">
        <v>6</v>
      </c>
      <c r="DG82" t="s">
        <v>6</v>
      </c>
      <c r="DH82" t="s">
        <v>6</v>
      </c>
      <c r="DI82" t="s">
        <v>6</v>
      </c>
      <c r="DJ82" t="s">
        <v>6</v>
      </c>
      <c r="DK82" t="s">
        <v>6</v>
      </c>
      <c r="DL82" t="s">
        <v>6</v>
      </c>
      <c r="DM82" t="s">
        <v>6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135</v>
      </c>
      <c r="DW82" t="s">
        <v>135</v>
      </c>
      <c r="DX82">
        <v>1</v>
      </c>
      <c r="DZ82" t="s">
        <v>6</v>
      </c>
      <c r="EA82" t="s">
        <v>6</v>
      </c>
      <c r="EB82" t="s">
        <v>6</v>
      </c>
      <c r="EC82" t="s">
        <v>6</v>
      </c>
      <c r="EE82">
        <v>40604762</v>
      </c>
      <c r="EF82">
        <v>8</v>
      </c>
      <c r="EG82" t="s">
        <v>129</v>
      </c>
      <c r="EH82">
        <v>0</v>
      </c>
      <c r="EI82" t="s">
        <v>6</v>
      </c>
      <c r="EJ82">
        <v>1</v>
      </c>
      <c r="EK82">
        <v>1100</v>
      </c>
      <c r="EL82" t="s">
        <v>130</v>
      </c>
      <c r="EM82" t="s">
        <v>131</v>
      </c>
      <c r="EO82" t="s">
        <v>6</v>
      </c>
      <c r="EQ82">
        <v>0</v>
      </c>
      <c r="ER82">
        <v>36.67</v>
      </c>
      <c r="ES82">
        <v>36.67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69"/>
        <v>0</v>
      </c>
      <c r="FS82">
        <v>0</v>
      </c>
      <c r="FX82">
        <v>0</v>
      </c>
      <c r="FY82">
        <v>0</v>
      </c>
      <c r="GA82" t="s">
        <v>132</v>
      </c>
      <c r="GD82">
        <v>1</v>
      </c>
      <c r="GF82">
        <v>1252209326</v>
      </c>
      <c r="GG82">
        <v>2</v>
      </c>
      <c r="GH82">
        <v>0</v>
      </c>
      <c r="GI82">
        <v>-2</v>
      </c>
      <c r="GJ82">
        <v>0</v>
      </c>
      <c r="GK82">
        <v>0</v>
      </c>
      <c r="GL82">
        <f t="shared" si="70"/>
        <v>0</v>
      </c>
      <c r="GM82">
        <f t="shared" si="71"/>
        <v>27429.16</v>
      </c>
      <c r="GN82">
        <f t="shared" si="72"/>
        <v>27429.16</v>
      </c>
      <c r="GO82">
        <f t="shared" si="73"/>
        <v>0</v>
      </c>
      <c r="GP82">
        <f t="shared" si="74"/>
        <v>0</v>
      </c>
      <c r="GR82">
        <v>0</v>
      </c>
      <c r="GS82">
        <v>4</v>
      </c>
      <c r="GT82">
        <v>0</v>
      </c>
      <c r="GU82" t="s">
        <v>6</v>
      </c>
      <c r="GV82">
        <f t="shared" si="75"/>
        <v>0</v>
      </c>
      <c r="GW82">
        <v>1</v>
      </c>
      <c r="GX82">
        <f t="shared" si="76"/>
        <v>0</v>
      </c>
      <c r="HA82">
        <v>0</v>
      </c>
      <c r="HB82">
        <v>0</v>
      </c>
      <c r="HC82">
        <f t="shared" si="77"/>
        <v>0</v>
      </c>
      <c r="HE82" t="s">
        <v>6</v>
      </c>
      <c r="HF82" t="s">
        <v>6</v>
      </c>
      <c r="HM82" t="s">
        <v>6</v>
      </c>
      <c r="HN82" t="s">
        <v>6</v>
      </c>
      <c r="HO82" t="s">
        <v>6</v>
      </c>
      <c r="HP82" t="s">
        <v>6</v>
      </c>
      <c r="HQ82" t="s">
        <v>6</v>
      </c>
      <c r="IK82">
        <v>0</v>
      </c>
    </row>
    <row r="83" spans="1:245">
      <c r="A83">
        <v>17</v>
      </c>
      <c r="B83">
        <v>1</v>
      </c>
      <c r="E83" t="s">
        <v>136</v>
      </c>
      <c r="F83" t="s">
        <v>127</v>
      </c>
      <c r="G83" t="s">
        <v>137</v>
      </c>
      <c r="H83" t="s">
        <v>20</v>
      </c>
      <c r="I83">
        <v>7.5</v>
      </c>
      <c r="J83">
        <v>0</v>
      </c>
      <c r="K83">
        <v>7.5</v>
      </c>
      <c r="O83">
        <f t="shared" si="44"/>
        <v>18125.03</v>
      </c>
      <c r="P83">
        <f t="shared" si="45"/>
        <v>18125.03</v>
      </c>
      <c r="Q83">
        <f t="shared" si="46"/>
        <v>0</v>
      </c>
      <c r="R83">
        <f t="shared" si="47"/>
        <v>0</v>
      </c>
      <c r="S83">
        <f t="shared" si="48"/>
        <v>0</v>
      </c>
      <c r="T83">
        <f t="shared" si="49"/>
        <v>0</v>
      </c>
      <c r="U83">
        <f t="shared" si="50"/>
        <v>0</v>
      </c>
      <c r="V83">
        <f t="shared" si="51"/>
        <v>0</v>
      </c>
      <c r="W83">
        <f t="shared" si="52"/>
        <v>0</v>
      </c>
      <c r="X83">
        <f t="shared" si="53"/>
        <v>0</v>
      </c>
      <c r="Y83">
        <f t="shared" si="53"/>
        <v>0</v>
      </c>
      <c r="AA83">
        <v>41853493</v>
      </c>
      <c r="AB83">
        <f t="shared" si="54"/>
        <v>2416.67</v>
      </c>
      <c r="AC83">
        <f t="shared" si="55"/>
        <v>2416.67</v>
      </c>
      <c r="AD83">
        <f t="shared" si="56"/>
        <v>0</v>
      </c>
      <c r="AE83">
        <f t="shared" si="57"/>
        <v>0</v>
      </c>
      <c r="AF83">
        <f t="shared" si="57"/>
        <v>0</v>
      </c>
      <c r="AG83">
        <f t="shared" si="58"/>
        <v>0</v>
      </c>
      <c r="AH83">
        <f t="shared" si="59"/>
        <v>0</v>
      </c>
      <c r="AI83">
        <f t="shared" si="59"/>
        <v>0</v>
      </c>
      <c r="AJ83">
        <f t="shared" si="60"/>
        <v>0</v>
      </c>
      <c r="AK83">
        <v>2416.67</v>
      </c>
      <c r="AL83">
        <v>2416.67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6</v>
      </c>
      <c r="BE83" t="s">
        <v>6</v>
      </c>
      <c r="BF83" t="s">
        <v>6</v>
      </c>
      <c r="BG83" t="s">
        <v>6</v>
      </c>
      <c r="BH83">
        <v>3</v>
      </c>
      <c r="BI83">
        <v>1</v>
      </c>
      <c r="BJ83" t="s">
        <v>6</v>
      </c>
      <c r="BM83">
        <v>1100</v>
      </c>
      <c r="BN83">
        <v>0</v>
      </c>
      <c r="BO83" t="s">
        <v>6</v>
      </c>
      <c r="BP83">
        <v>0</v>
      </c>
      <c r="BQ83">
        <v>8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6</v>
      </c>
      <c r="BZ83">
        <v>0</v>
      </c>
      <c r="CA83">
        <v>0</v>
      </c>
      <c r="CB83" t="s">
        <v>6</v>
      </c>
      <c r="CE83">
        <v>0</v>
      </c>
      <c r="CF83">
        <v>0</v>
      </c>
      <c r="CG83">
        <v>0</v>
      </c>
      <c r="CM83">
        <v>0</v>
      </c>
      <c r="CN83" t="s">
        <v>6</v>
      </c>
      <c r="CO83">
        <v>0</v>
      </c>
      <c r="CP83">
        <f t="shared" si="61"/>
        <v>18125.03</v>
      </c>
      <c r="CQ83">
        <f t="shared" si="62"/>
        <v>2416.67</v>
      </c>
      <c r="CR83">
        <f t="shared" si="63"/>
        <v>0</v>
      </c>
      <c r="CS83">
        <f t="shared" si="64"/>
        <v>0</v>
      </c>
      <c r="CT83">
        <f t="shared" si="65"/>
        <v>0</v>
      </c>
      <c r="CU83">
        <f t="shared" si="66"/>
        <v>0</v>
      </c>
      <c r="CV83">
        <f t="shared" si="66"/>
        <v>0</v>
      </c>
      <c r="CW83">
        <f t="shared" si="66"/>
        <v>0</v>
      </c>
      <c r="CX83">
        <f t="shared" si="66"/>
        <v>0</v>
      </c>
      <c r="CY83">
        <f t="shared" si="67"/>
        <v>0</v>
      </c>
      <c r="CZ83">
        <f t="shared" si="68"/>
        <v>0</v>
      </c>
      <c r="DC83" t="s">
        <v>6</v>
      </c>
      <c r="DD83" t="s">
        <v>6</v>
      </c>
      <c r="DE83" t="s">
        <v>6</v>
      </c>
      <c r="DF83" t="s">
        <v>6</v>
      </c>
      <c r="DG83" t="s">
        <v>6</v>
      </c>
      <c r="DH83" t="s">
        <v>6</v>
      </c>
      <c r="DI83" t="s">
        <v>6</v>
      </c>
      <c r="DJ83" t="s">
        <v>6</v>
      </c>
      <c r="DK83" t="s">
        <v>6</v>
      </c>
      <c r="DL83" t="s">
        <v>6</v>
      </c>
      <c r="DM83" t="s">
        <v>6</v>
      </c>
      <c r="DN83">
        <v>0</v>
      </c>
      <c r="DO83">
        <v>0</v>
      </c>
      <c r="DP83">
        <v>1</v>
      </c>
      <c r="DQ83">
        <v>1</v>
      </c>
      <c r="DU83">
        <v>1013</v>
      </c>
      <c r="DV83" t="s">
        <v>20</v>
      </c>
      <c r="DW83" t="s">
        <v>20</v>
      </c>
      <c r="DX83">
        <v>1</v>
      </c>
      <c r="DZ83" t="s">
        <v>6</v>
      </c>
      <c r="EA83" t="s">
        <v>6</v>
      </c>
      <c r="EB83" t="s">
        <v>6</v>
      </c>
      <c r="EC83" t="s">
        <v>6</v>
      </c>
      <c r="EE83">
        <v>40604762</v>
      </c>
      <c r="EF83">
        <v>8</v>
      </c>
      <c r="EG83" t="s">
        <v>129</v>
      </c>
      <c r="EH83">
        <v>0</v>
      </c>
      <c r="EI83" t="s">
        <v>6</v>
      </c>
      <c r="EJ83">
        <v>1</v>
      </c>
      <c r="EK83">
        <v>1100</v>
      </c>
      <c r="EL83" t="s">
        <v>130</v>
      </c>
      <c r="EM83" t="s">
        <v>131</v>
      </c>
      <c r="EO83" t="s">
        <v>6</v>
      </c>
      <c r="EQ83">
        <v>0</v>
      </c>
      <c r="ER83">
        <v>2416.67</v>
      </c>
      <c r="ES83">
        <v>2416.67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FQ83">
        <v>0</v>
      </c>
      <c r="FR83">
        <f t="shared" si="69"/>
        <v>0</v>
      </c>
      <c r="FS83">
        <v>0</v>
      </c>
      <c r="FX83">
        <v>0</v>
      </c>
      <c r="FY83">
        <v>0</v>
      </c>
      <c r="GA83" t="s">
        <v>132</v>
      </c>
      <c r="GD83">
        <v>1</v>
      </c>
      <c r="GF83">
        <v>-1031809321</v>
      </c>
      <c r="GG83">
        <v>2</v>
      </c>
      <c r="GH83">
        <v>0</v>
      </c>
      <c r="GI83">
        <v>-2</v>
      </c>
      <c r="GJ83">
        <v>0</v>
      </c>
      <c r="GK83">
        <v>0</v>
      </c>
      <c r="GL83">
        <f t="shared" si="70"/>
        <v>0</v>
      </c>
      <c r="GM83">
        <f t="shared" si="71"/>
        <v>18125.03</v>
      </c>
      <c r="GN83">
        <f t="shared" si="72"/>
        <v>18125.03</v>
      </c>
      <c r="GO83">
        <f t="shared" si="73"/>
        <v>0</v>
      </c>
      <c r="GP83">
        <f t="shared" si="74"/>
        <v>0</v>
      </c>
      <c r="GR83">
        <v>0</v>
      </c>
      <c r="GS83">
        <v>4</v>
      </c>
      <c r="GT83">
        <v>0</v>
      </c>
      <c r="GU83" t="s">
        <v>6</v>
      </c>
      <c r="GV83">
        <f t="shared" si="75"/>
        <v>0</v>
      </c>
      <c r="GW83">
        <v>1</v>
      </c>
      <c r="GX83">
        <f t="shared" si="76"/>
        <v>0</v>
      </c>
      <c r="HA83">
        <v>0</v>
      </c>
      <c r="HB83">
        <v>0</v>
      </c>
      <c r="HC83">
        <f t="shared" si="77"/>
        <v>0</v>
      </c>
      <c r="HE83" t="s">
        <v>6</v>
      </c>
      <c r="HF83" t="s">
        <v>6</v>
      </c>
      <c r="HM83" t="s">
        <v>6</v>
      </c>
      <c r="HN83" t="s">
        <v>6</v>
      </c>
      <c r="HO83" t="s">
        <v>6</v>
      </c>
      <c r="HP83" t="s">
        <v>6</v>
      </c>
      <c r="HQ83" t="s">
        <v>6</v>
      </c>
      <c r="IK83">
        <v>0</v>
      </c>
    </row>
    <row r="84" spans="1:245">
      <c r="A84">
        <v>17</v>
      </c>
      <c r="B84">
        <v>1</v>
      </c>
      <c r="E84" t="s">
        <v>138</v>
      </c>
      <c r="F84" t="s">
        <v>127</v>
      </c>
      <c r="G84" t="s">
        <v>139</v>
      </c>
      <c r="H84" t="s">
        <v>20</v>
      </c>
      <c r="I84">
        <v>374</v>
      </c>
      <c r="J84">
        <v>0</v>
      </c>
      <c r="K84">
        <v>374</v>
      </c>
      <c r="O84">
        <f t="shared" si="44"/>
        <v>4050.42</v>
      </c>
      <c r="P84">
        <f t="shared" si="45"/>
        <v>4050.42</v>
      </c>
      <c r="Q84">
        <f t="shared" si="46"/>
        <v>0</v>
      </c>
      <c r="R84">
        <f t="shared" si="47"/>
        <v>0</v>
      </c>
      <c r="S84">
        <f t="shared" si="48"/>
        <v>0</v>
      </c>
      <c r="T84">
        <f t="shared" si="49"/>
        <v>0</v>
      </c>
      <c r="U84">
        <f t="shared" si="50"/>
        <v>0</v>
      </c>
      <c r="V84">
        <f t="shared" si="51"/>
        <v>0</v>
      </c>
      <c r="W84">
        <f t="shared" si="52"/>
        <v>0</v>
      </c>
      <c r="X84">
        <f t="shared" si="53"/>
        <v>0</v>
      </c>
      <c r="Y84">
        <f t="shared" si="53"/>
        <v>0</v>
      </c>
      <c r="AA84">
        <v>41853493</v>
      </c>
      <c r="AB84">
        <f t="shared" si="54"/>
        <v>10.83</v>
      </c>
      <c r="AC84">
        <f t="shared" si="55"/>
        <v>10.83</v>
      </c>
      <c r="AD84">
        <f t="shared" si="56"/>
        <v>0</v>
      </c>
      <c r="AE84">
        <f t="shared" si="57"/>
        <v>0</v>
      </c>
      <c r="AF84">
        <f t="shared" si="57"/>
        <v>0</v>
      </c>
      <c r="AG84">
        <f t="shared" si="58"/>
        <v>0</v>
      </c>
      <c r="AH84">
        <f t="shared" si="59"/>
        <v>0</v>
      </c>
      <c r="AI84">
        <f t="shared" si="59"/>
        <v>0</v>
      </c>
      <c r="AJ84">
        <f t="shared" si="60"/>
        <v>0</v>
      </c>
      <c r="AK84">
        <v>10.83</v>
      </c>
      <c r="AL84">
        <v>10.83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6</v>
      </c>
      <c r="BE84" t="s">
        <v>6</v>
      </c>
      <c r="BF84" t="s">
        <v>6</v>
      </c>
      <c r="BG84" t="s">
        <v>6</v>
      </c>
      <c r="BH84">
        <v>3</v>
      </c>
      <c r="BI84">
        <v>1</v>
      </c>
      <c r="BJ84" t="s">
        <v>6</v>
      </c>
      <c r="BM84">
        <v>1100</v>
      </c>
      <c r="BN84">
        <v>0</v>
      </c>
      <c r="BO84" t="s">
        <v>6</v>
      </c>
      <c r="BP84">
        <v>0</v>
      </c>
      <c r="BQ84">
        <v>8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6</v>
      </c>
      <c r="BZ84">
        <v>0</v>
      </c>
      <c r="CA84">
        <v>0</v>
      </c>
      <c r="CB84" t="s">
        <v>6</v>
      </c>
      <c r="CE84">
        <v>0</v>
      </c>
      <c r="CF84">
        <v>0</v>
      </c>
      <c r="CG84">
        <v>0</v>
      </c>
      <c r="CM84">
        <v>0</v>
      </c>
      <c r="CN84" t="s">
        <v>6</v>
      </c>
      <c r="CO84">
        <v>0</v>
      </c>
      <c r="CP84">
        <f t="shared" si="61"/>
        <v>4050.42</v>
      </c>
      <c r="CQ84">
        <f t="shared" si="62"/>
        <v>10.83</v>
      </c>
      <c r="CR84">
        <f t="shared" si="63"/>
        <v>0</v>
      </c>
      <c r="CS84">
        <f t="shared" si="64"/>
        <v>0</v>
      </c>
      <c r="CT84">
        <f t="shared" si="65"/>
        <v>0</v>
      </c>
      <c r="CU84">
        <f t="shared" si="66"/>
        <v>0</v>
      </c>
      <c r="CV84">
        <f t="shared" si="66"/>
        <v>0</v>
      </c>
      <c r="CW84">
        <f t="shared" si="66"/>
        <v>0</v>
      </c>
      <c r="CX84">
        <f t="shared" si="66"/>
        <v>0</v>
      </c>
      <c r="CY84">
        <f t="shared" si="67"/>
        <v>0</v>
      </c>
      <c r="CZ84">
        <f t="shared" si="68"/>
        <v>0</v>
      </c>
      <c r="DC84" t="s">
        <v>6</v>
      </c>
      <c r="DD84" t="s">
        <v>6</v>
      </c>
      <c r="DE84" t="s">
        <v>6</v>
      </c>
      <c r="DF84" t="s">
        <v>6</v>
      </c>
      <c r="DG84" t="s">
        <v>6</v>
      </c>
      <c r="DH84" t="s">
        <v>6</v>
      </c>
      <c r="DI84" t="s">
        <v>6</v>
      </c>
      <c r="DJ84" t="s">
        <v>6</v>
      </c>
      <c r="DK84" t="s">
        <v>6</v>
      </c>
      <c r="DL84" t="s">
        <v>6</v>
      </c>
      <c r="DM84" t="s">
        <v>6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20</v>
      </c>
      <c r="DW84" t="s">
        <v>20</v>
      </c>
      <c r="DX84">
        <v>1</v>
      </c>
      <c r="DZ84" t="s">
        <v>6</v>
      </c>
      <c r="EA84" t="s">
        <v>6</v>
      </c>
      <c r="EB84" t="s">
        <v>6</v>
      </c>
      <c r="EC84" t="s">
        <v>6</v>
      </c>
      <c r="EE84">
        <v>40604762</v>
      </c>
      <c r="EF84">
        <v>8</v>
      </c>
      <c r="EG84" t="s">
        <v>129</v>
      </c>
      <c r="EH84">
        <v>0</v>
      </c>
      <c r="EI84" t="s">
        <v>6</v>
      </c>
      <c r="EJ84">
        <v>1</v>
      </c>
      <c r="EK84">
        <v>1100</v>
      </c>
      <c r="EL84" t="s">
        <v>130</v>
      </c>
      <c r="EM84" t="s">
        <v>131</v>
      </c>
      <c r="EO84" t="s">
        <v>6</v>
      </c>
      <c r="EQ84">
        <v>0</v>
      </c>
      <c r="ER84">
        <v>10.83</v>
      </c>
      <c r="ES84">
        <v>10.83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FQ84">
        <v>0</v>
      </c>
      <c r="FR84">
        <f t="shared" si="69"/>
        <v>0</v>
      </c>
      <c r="FS84">
        <v>0</v>
      </c>
      <c r="FX84">
        <v>0</v>
      </c>
      <c r="FY84">
        <v>0</v>
      </c>
      <c r="GA84" t="s">
        <v>132</v>
      </c>
      <c r="GD84">
        <v>1</v>
      </c>
      <c r="GF84">
        <v>-1948352430</v>
      </c>
      <c r="GG84">
        <v>2</v>
      </c>
      <c r="GH84">
        <v>0</v>
      </c>
      <c r="GI84">
        <v>-2</v>
      </c>
      <c r="GJ84">
        <v>0</v>
      </c>
      <c r="GK84">
        <v>0</v>
      </c>
      <c r="GL84">
        <f t="shared" si="70"/>
        <v>0</v>
      </c>
      <c r="GM84">
        <f t="shared" si="71"/>
        <v>4050.42</v>
      </c>
      <c r="GN84">
        <f t="shared" si="72"/>
        <v>4050.42</v>
      </c>
      <c r="GO84">
        <f t="shared" si="73"/>
        <v>0</v>
      </c>
      <c r="GP84">
        <f t="shared" si="74"/>
        <v>0</v>
      </c>
      <c r="GR84">
        <v>0</v>
      </c>
      <c r="GS84">
        <v>4</v>
      </c>
      <c r="GT84">
        <v>0</v>
      </c>
      <c r="GU84" t="s">
        <v>6</v>
      </c>
      <c r="GV84">
        <f t="shared" si="75"/>
        <v>0</v>
      </c>
      <c r="GW84">
        <v>1</v>
      </c>
      <c r="GX84">
        <f t="shared" si="76"/>
        <v>0</v>
      </c>
      <c r="HA84">
        <v>0</v>
      </c>
      <c r="HB84">
        <v>0</v>
      </c>
      <c r="HC84">
        <f t="shared" si="77"/>
        <v>0</v>
      </c>
      <c r="HE84" t="s">
        <v>6</v>
      </c>
      <c r="HF84" t="s">
        <v>6</v>
      </c>
      <c r="HM84" t="s">
        <v>6</v>
      </c>
      <c r="HN84" t="s">
        <v>6</v>
      </c>
      <c r="HO84" t="s">
        <v>6</v>
      </c>
      <c r="HP84" t="s">
        <v>6</v>
      </c>
      <c r="HQ84" t="s">
        <v>6</v>
      </c>
      <c r="IK84">
        <v>0</v>
      </c>
    </row>
    <row r="85" spans="1:245">
      <c r="A85">
        <v>17</v>
      </c>
      <c r="B85">
        <v>1</v>
      </c>
      <c r="E85" t="s">
        <v>140</v>
      </c>
      <c r="F85" t="s">
        <v>127</v>
      </c>
      <c r="G85" t="s">
        <v>141</v>
      </c>
      <c r="H85" t="s">
        <v>20</v>
      </c>
      <c r="I85">
        <v>748</v>
      </c>
      <c r="J85">
        <v>0</v>
      </c>
      <c r="K85">
        <v>748</v>
      </c>
      <c r="O85">
        <f t="shared" si="44"/>
        <v>113449.16</v>
      </c>
      <c r="P85">
        <f t="shared" si="45"/>
        <v>113449.16</v>
      </c>
      <c r="Q85">
        <f t="shared" si="46"/>
        <v>0</v>
      </c>
      <c r="R85">
        <f t="shared" si="47"/>
        <v>0</v>
      </c>
      <c r="S85">
        <f t="shared" si="48"/>
        <v>0</v>
      </c>
      <c r="T85">
        <f t="shared" si="49"/>
        <v>0</v>
      </c>
      <c r="U85">
        <f t="shared" si="50"/>
        <v>0</v>
      </c>
      <c r="V85">
        <f t="shared" si="51"/>
        <v>0</v>
      </c>
      <c r="W85">
        <f t="shared" si="52"/>
        <v>0</v>
      </c>
      <c r="X85">
        <f t="shared" si="53"/>
        <v>0</v>
      </c>
      <c r="Y85">
        <f t="shared" si="53"/>
        <v>0</v>
      </c>
      <c r="AA85">
        <v>41853493</v>
      </c>
      <c r="AB85">
        <f t="shared" si="54"/>
        <v>151.66999999999999</v>
      </c>
      <c r="AC85">
        <f t="shared" si="55"/>
        <v>151.66999999999999</v>
      </c>
      <c r="AD85">
        <f t="shared" si="56"/>
        <v>0</v>
      </c>
      <c r="AE85">
        <f t="shared" si="57"/>
        <v>0</v>
      </c>
      <c r="AF85">
        <f t="shared" si="57"/>
        <v>0</v>
      </c>
      <c r="AG85">
        <f t="shared" si="58"/>
        <v>0</v>
      </c>
      <c r="AH85">
        <f t="shared" si="59"/>
        <v>0</v>
      </c>
      <c r="AI85">
        <f t="shared" si="59"/>
        <v>0</v>
      </c>
      <c r="AJ85">
        <f t="shared" si="60"/>
        <v>0</v>
      </c>
      <c r="AK85">
        <v>151.66999999999999</v>
      </c>
      <c r="AL85">
        <v>151.66999999999999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6</v>
      </c>
      <c r="BE85" t="s">
        <v>6</v>
      </c>
      <c r="BF85" t="s">
        <v>6</v>
      </c>
      <c r="BG85" t="s">
        <v>6</v>
      </c>
      <c r="BH85">
        <v>3</v>
      </c>
      <c r="BI85">
        <v>1</v>
      </c>
      <c r="BJ85" t="s">
        <v>6</v>
      </c>
      <c r="BM85">
        <v>1100</v>
      </c>
      <c r="BN85">
        <v>0</v>
      </c>
      <c r="BO85" t="s">
        <v>6</v>
      </c>
      <c r="BP85">
        <v>0</v>
      </c>
      <c r="BQ85">
        <v>8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6</v>
      </c>
      <c r="BZ85">
        <v>0</v>
      </c>
      <c r="CA85">
        <v>0</v>
      </c>
      <c r="CB85" t="s">
        <v>6</v>
      </c>
      <c r="CE85">
        <v>0</v>
      </c>
      <c r="CF85">
        <v>0</v>
      </c>
      <c r="CG85">
        <v>0</v>
      </c>
      <c r="CM85">
        <v>0</v>
      </c>
      <c r="CN85" t="s">
        <v>6</v>
      </c>
      <c r="CO85">
        <v>0</v>
      </c>
      <c r="CP85">
        <f t="shared" si="61"/>
        <v>113449.16</v>
      </c>
      <c r="CQ85">
        <f t="shared" si="62"/>
        <v>151.66999999999999</v>
      </c>
      <c r="CR85">
        <f t="shared" si="63"/>
        <v>0</v>
      </c>
      <c r="CS85">
        <f t="shared" si="64"/>
        <v>0</v>
      </c>
      <c r="CT85">
        <f t="shared" si="65"/>
        <v>0</v>
      </c>
      <c r="CU85">
        <f t="shared" si="66"/>
        <v>0</v>
      </c>
      <c r="CV85">
        <f t="shared" si="66"/>
        <v>0</v>
      </c>
      <c r="CW85">
        <f t="shared" si="66"/>
        <v>0</v>
      </c>
      <c r="CX85">
        <f t="shared" si="66"/>
        <v>0</v>
      </c>
      <c r="CY85">
        <f t="shared" si="67"/>
        <v>0</v>
      </c>
      <c r="CZ85">
        <f t="shared" si="68"/>
        <v>0</v>
      </c>
      <c r="DC85" t="s">
        <v>6</v>
      </c>
      <c r="DD85" t="s">
        <v>6</v>
      </c>
      <c r="DE85" t="s">
        <v>6</v>
      </c>
      <c r="DF85" t="s">
        <v>6</v>
      </c>
      <c r="DG85" t="s">
        <v>6</v>
      </c>
      <c r="DH85" t="s">
        <v>6</v>
      </c>
      <c r="DI85" t="s">
        <v>6</v>
      </c>
      <c r="DJ85" t="s">
        <v>6</v>
      </c>
      <c r="DK85" t="s">
        <v>6</v>
      </c>
      <c r="DL85" t="s">
        <v>6</v>
      </c>
      <c r="DM85" t="s">
        <v>6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20</v>
      </c>
      <c r="DW85" t="s">
        <v>20</v>
      </c>
      <c r="DX85">
        <v>1</v>
      </c>
      <c r="DZ85" t="s">
        <v>6</v>
      </c>
      <c r="EA85" t="s">
        <v>6</v>
      </c>
      <c r="EB85" t="s">
        <v>6</v>
      </c>
      <c r="EC85" t="s">
        <v>6</v>
      </c>
      <c r="EE85">
        <v>40604762</v>
      </c>
      <c r="EF85">
        <v>8</v>
      </c>
      <c r="EG85" t="s">
        <v>129</v>
      </c>
      <c r="EH85">
        <v>0</v>
      </c>
      <c r="EI85" t="s">
        <v>6</v>
      </c>
      <c r="EJ85">
        <v>1</v>
      </c>
      <c r="EK85">
        <v>1100</v>
      </c>
      <c r="EL85" t="s">
        <v>130</v>
      </c>
      <c r="EM85" t="s">
        <v>131</v>
      </c>
      <c r="EO85" t="s">
        <v>6</v>
      </c>
      <c r="EQ85">
        <v>0</v>
      </c>
      <c r="ER85">
        <v>151.66999999999999</v>
      </c>
      <c r="ES85">
        <v>151.66999999999999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FQ85">
        <v>0</v>
      </c>
      <c r="FR85">
        <f t="shared" si="69"/>
        <v>0</v>
      </c>
      <c r="FS85">
        <v>0</v>
      </c>
      <c r="FX85">
        <v>0</v>
      </c>
      <c r="FY85">
        <v>0</v>
      </c>
      <c r="GA85" t="s">
        <v>132</v>
      </c>
      <c r="GD85">
        <v>1</v>
      </c>
      <c r="GF85">
        <v>434122021</v>
      </c>
      <c r="GG85">
        <v>2</v>
      </c>
      <c r="GH85">
        <v>0</v>
      </c>
      <c r="GI85">
        <v>-2</v>
      </c>
      <c r="GJ85">
        <v>0</v>
      </c>
      <c r="GK85">
        <v>0</v>
      </c>
      <c r="GL85">
        <f t="shared" si="70"/>
        <v>0</v>
      </c>
      <c r="GM85">
        <f t="shared" si="71"/>
        <v>113449.16</v>
      </c>
      <c r="GN85">
        <f t="shared" si="72"/>
        <v>113449.16</v>
      </c>
      <c r="GO85">
        <f t="shared" si="73"/>
        <v>0</v>
      </c>
      <c r="GP85">
        <f t="shared" si="74"/>
        <v>0</v>
      </c>
      <c r="GR85">
        <v>0</v>
      </c>
      <c r="GS85">
        <v>4</v>
      </c>
      <c r="GT85">
        <v>0</v>
      </c>
      <c r="GU85" t="s">
        <v>6</v>
      </c>
      <c r="GV85">
        <f t="shared" si="75"/>
        <v>0</v>
      </c>
      <c r="GW85">
        <v>1</v>
      </c>
      <c r="GX85">
        <f t="shared" si="76"/>
        <v>0</v>
      </c>
      <c r="HA85">
        <v>0</v>
      </c>
      <c r="HB85">
        <v>0</v>
      </c>
      <c r="HC85">
        <f t="shared" si="77"/>
        <v>0</v>
      </c>
      <c r="HE85" t="s">
        <v>6</v>
      </c>
      <c r="HF85" t="s">
        <v>6</v>
      </c>
      <c r="HM85" t="s">
        <v>6</v>
      </c>
      <c r="HN85" t="s">
        <v>6</v>
      </c>
      <c r="HO85" t="s">
        <v>6</v>
      </c>
      <c r="HP85" t="s">
        <v>6</v>
      </c>
      <c r="HQ85" t="s">
        <v>6</v>
      </c>
      <c r="IK85">
        <v>0</v>
      </c>
    </row>
    <row r="86" spans="1:245">
      <c r="A86">
        <v>17</v>
      </c>
      <c r="B86">
        <v>1</v>
      </c>
      <c r="E86" t="s">
        <v>142</v>
      </c>
      <c r="F86" t="s">
        <v>127</v>
      </c>
      <c r="G86" t="s">
        <v>143</v>
      </c>
      <c r="H86" t="s">
        <v>20</v>
      </c>
      <c r="I86">
        <v>187</v>
      </c>
      <c r="J86">
        <v>0</v>
      </c>
      <c r="K86">
        <v>187</v>
      </c>
      <c r="O86">
        <f t="shared" si="44"/>
        <v>20414.79</v>
      </c>
      <c r="P86">
        <f t="shared" si="45"/>
        <v>20414.79</v>
      </c>
      <c r="Q86">
        <f t="shared" si="46"/>
        <v>0</v>
      </c>
      <c r="R86">
        <f t="shared" si="47"/>
        <v>0</v>
      </c>
      <c r="S86">
        <f t="shared" si="48"/>
        <v>0</v>
      </c>
      <c r="T86">
        <f t="shared" si="49"/>
        <v>0</v>
      </c>
      <c r="U86">
        <f t="shared" si="50"/>
        <v>0</v>
      </c>
      <c r="V86">
        <f t="shared" si="51"/>
        <v>0</v>
      </c>
      <c r="W86">
        <f t="shared" si="52"/>
        <v>0</v>
      </c>
      <c r="X86">
        <f t="shared" si="53"/>
        <v>0</v>
      </c>
      <c r="Y86">
        <f t="shared" si="53"/>
        <v>0</v>
      </c>
      <c r="AA86">
        <v>41853493</v>
      </c>
      <c r="AB86">
        <f t="shared" si="54"/>
        <v>109.17</v>
      </c>
      <c r="AC86">
        <f t="shared" si="55"/>
        <v>109.17</v>
      </c>
      <c r="AD86">
        <f t="shared" si="56"/>
        <v>0</v>
      </c>
      <c r="AE86">
        <f t="shared" si="57"/>
        <v>0</v>
      </c>
      <c r="AF86">
        <f t="shared" si="57"/>
        <v>0</v>
      </c>
      <c r="AG86">
        <f t="shared" si="58"/>
        <v>0</v>
      </c>
      <c r="AH86">
        <f t="shared" si="59"/>
        <v>0</v>
      </c>
      <c r="AI86">
        <f t="shared" si="59"/>
        <v>0</v>
      </c>
      <c r="AJ86">
        <f t="shared" si="60"/>
        <v>0</v>
      </c>
      <c r="AK86">
        <v>109.17</v>
      </c>
      <c r="AL86">
        <v>109.17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6</v>
      </c>
      <c r="BE86" t="s">
        <v>6</v>
      </c>
      <c r="BF86" t="s">
        <v>6</v>
      </c>
      <c r="BG86" t="s">
        <v>6</v>
      </c>
      <c r="BH86">
        <v>3</v>
      </c>
      <c r="BI86">
        <v>1</v>
      </c>
      <c r="BJ86" t="s">
        <v>6</v>
      </c>
      <c r="BM86">
        <v>1100</v>
      </c>
      <c r="BN86">
        <v>0</v>
      </c>
      <c r="BO86" t="s">
        <v>6</v>
      </c>
      <c r="BP86">
        <v>0</v>
      </c>
      <c r="BQ86">
        <v>8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6</v>
      </c>
      <c r="BZ86">
        <v>0</v>
      </c>
      <c r="CA86">
        <v>0</v>
      </c>
      <c r="CB86" t="s">
        <v>6</v>
      </c>
      <c r="CE86">
        <v>0</v>
      </c>
      <c r="CF86">
        <v>0</v>
      </c>
      <c r="CG86">
        <v>0</v>
      </c>
      <c r="CM86">
        <v>0</v>
      </c>
      <c r="CN86" t="s">
        <v>6</v>
      </c>
      <c r="CO86">
        <v>0</v>
      </c>
      <c r="CP86">
        <f t="shared" si="61"/>
        <v>20414.79</v>
      </c>
      <c r="CQ86">
        <f t="shared" si="62"/>
        <v>109.17</v>
      </c>
      <c r="CR86">
        <f t="shared" si="63"/>
        <v>0</v>
      </c>
      <c r="CS86">
        <f t="shared" si="64"/>
        <v>0</v>
      </c>
      <c r="CT86">
        <f t="shared" si="65"/>
        <v>0</v>
      </c>
      <c r="CU86">
        <f t="shared" si="66"/>
        <v>0</v>
      </c>
      <c r="CV86">
        <f t="shared" si="66"/>
        <v>0</v>
      </c>
      <c r="CW86">
        <f t="shared" si="66"/>
        <v>0</v>
      </c>
      <c r="CX86">
        <f t="shared" si="66"/>
        <v>0</v>
      </c>
      <c r="CY86">
        <f t="shared" si="67"/>
        <v>0</v>
      </c>
      <c r="CZ86">
        <f t="shared" si="68"/>
        <v>0</v>
      </c>
      <c r="DC86" t="s">
        <v>6</v>
      </c>
      <c r="DD86" t="s">
        <v>6</v>
      </c>
      <c r="DE86" t="s">
        <v>6</v>
      </c>
      <c r="DF86" t="s">
        <v>6</v>
      </c>
      <c r="DG86" t="s">
        <v>6</v>
      </c>
      <c r="DH86" t="s">
        <v>6</v>
      </c>
      <c r="DI86" t="s">
        <v>6</v>
      </c>
      <c r="DJ86" t="s">
        <v>6</v>
      </c>
      <c r="DK86" t="s">
        <v>6</v>
      </c>
      <c r="DL86" t="s">
        <v>6</v>
      </c>
      <c r="DM86" t="s">
        <v>6</v>
      </c>
      <c r="DN86">
        <v>0</v>
      </c>
      <c r="DO86">
        <v>0</v>
      </c>
      <c r="DP86">
        <v>1</v>
      </c>
      <c r="DQ86">
        <v>1</v>
      </c>
      <c r="DU86">
        <v>1013</v>
      </c>
      <c r="DV86" t="s">
        <v>20</v>
      </c>
      <c r="DW86" t="s">
        <v>20</v>
      </c>
      <c r="DX86">
        <v>1</v>
      </c>
      <c r="DZ86" t="s">
        <v>6</v>
      </c>
      <c r="EA86" t="s">
        <v>6</v>
      </c>
      <c r="EB86" t="s">
        <v>6</v>
      </c>
      <c r="EC86" t="s">
        <v>6</v>
      </c>
      <c r="EE86">
        <v>40604762</v>
      </c>
      <c r="EF86">
        <v>8</v>
      </c>
      <c r="EG86" t="s">
        <v>129</v>
      </c>
      <c r="EH86">
        <v>0</v>
      </c>
      <c r="EI86" t="s">
        <v>6</v>
      </c>
      <c r="EJ86">
        <v>1</v>
      </c>
      <c r="EK86">
        <v>1100</v>
      </c>
      <c r="EL86" t="s">
        <v>130</v>
      </c>
      <c r="EM86" t="s">
        <v>131</v>
      </c>
      <c r="EO86" t="s">
        <v>6</v>
      </c>
      <c r="EQ86">
        <v>0</v>
      </c>
      <c r="ER86">
        <v>109.17</v>
      </c>
      <c r="ES86">
        <v>109.17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69"/>
        <v>0</v>
      </c>
      <c r="FS86">
        <v>0</v>
      </c>
      <c r="FX86">
        <v>0</v>
      </c>
      <c r="FY86">
        <v>0</v>
      </c>
      <c r="GA86" t="s">
        <v>132</v>
      </c>
      <c r="GD86">
        <v>1</v>
      </c>
      <c r="GF86">
        <v>229284553</v>
      </c>
      <c r="GG86">
        <v>2</v>
      </c>
      <c r="GH86">
        <v>0</v>
      </c>
      <c r="GI86">
        <v>-2</v>
      </c>
      <c r="GJ86">
        <v>0</v>
      </c>
      <c r="GK86">
        <v>0</v>
      </c>
      <c r="GL86">
        <f t="shared" si="70"/>
        <v>0</v>
      </c>
      <c r="GM86">
        <f t="shared" si="71"/>
        <v>20414.79</v>
      </c>
      <c r="GN86">
        <f t="shared" si="72"/>
        <v>20414.79</v>
      </c>
      <c r="GO86">
        <f t="shared" si="73"/>
        <v>0</v>
      </c>
      <c r="GP86">
        <f t="shared" si="74"/>
        <v>0</v>
      </c>
      <c r="GR86">
        <v>0</v>
      </c>
      <c r="GS86">
        <v>4</v>
      </c>
      <c r="GT86">
        <v>0</v>
      </c>
      <c r="GU86" t="s">
        <v>6</v>
      </c>
      <c r="GV86">
        <f t="shared" si="75"/>
        <v>0</v>
      </c>
      <c r="GW86">
        <v>1</v>
      </c>
      <c r="GX86">
        <f t="shared" si="76"/>
        <v>0</v>
      </c>
      <c r="HA86">
        <v>0</v>
      </c>
      <c r="HB86">
        <v>0</v>
      </c>
      <c r="HC86">
        <f t="shared" si="77"/>
        <v>0</v>
      </c>
      <c r="HE86" t="s">
        <v>6</v>
      </c>
      <c r="HF86" t="s">
        <v>6</v>
      </c>
      <c r="HM86" t="s">
        <v>6</v>
      </c>
      <c r="HN86" t="s">
        <v>6</v>
      </c>
      <c r="HO86" t="s">
        <v>6</v>
      </c>
      <c r="HP86" t="s">
        <v>6</v>
      </c>
      <c r="HQ86" t="s">
        <v>6</v>
      </c>
      <c r="IK86">
        <v>0</v>
      </c>
    </row>
    <row r="88" spans="1:245">
      <c r="A88" s="2">
        <v>51</v>
      </c>
      <c r="B88" s="2">
        <f>B77</f>
        <v>1</v>
      </c>
      <c r="C88" s="2">
        <f>A77</f>
        <v>4</v>
      </c>
      <c r="D88" s="2">
        <f>ROW(A77)</f>
        <v>77</v>
      </c>
      <c r="E88" s="2"/>
      <c r="F88" s="2" t="str">
        <f>IF(F77&lt;&gt;"",F77,"")</f>
        <v>Новый раздел</v>
      </c>
      <c r="G88" s="2" t="str">
        <f>IF(G77&lt;&gt;"",G77,"")</f>
        <v>Материалы, не учтенные ценником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78">ROUND(AB88,2)</f>
        <v>2443363.56</v>
      </c>
      <c r="P88" s="2">
        <f t="shared" si="78"/>
        <v>2443363.56</v>
      </c>
      <c r="Q88" s="2">
        <f t="shared" si="78"/>
        <v>0</v>
      </c>
      <c r="R88" s="2">
        <f t="shared" si="78"/>
        <v>0</v>
      </c>
      <c r="S88" s="2">
        <f t="shared" si="78"/>
        <v>0</v>
      </c>
      <c r="T88" s="2">
        <f t="shared" si="78"/>
        <v>0</v>
      </c>
      <c r="U88" s="2">
        <f>AH88</f>
        <v>0</v>
      </c>
      <c r="V88" s="2">
        <f>AI88</f>
        <v>0</v>
      </c>
      <c r="W88" s="2">
        <f>ROUND(AJ88,2)</f>
        <v>0</v>
      </c>
      <c r="X88" s="2">
        <f>ROUND(AK88,2)</f>
        <v>0</v>
      </c>
      <c r="Y88" s="2">
        <f>ROUND(AL88,2)</f>
        <v>0</v>
      </c>
      <c r="Z88" s="2"/>
      <c r="AA88" s="2"/>
      <c r="AB88" s="2">
        <f>ROUND(SUMIF(AA81:AA86,"=41853493",O81:O86),2)</f>
        <v>2443363.56</v>
      </c>
      <c r="AC88" s="2">
        <f>ROUND(SUMIF(AA81:AA86,"=41853493",P81:P86),2)</f>
        <v>2443363.56</v>
      </c>
      <c r="AD88" s="2">
        <f>ROUND(SUMIF(AA81:AA86,"=41853493",Q81:Q86),2)</f>
        <v>0</v>
      </c>
      <c r="AE88" s="2">
        <f>ROUND(SUMIF(AA81:AA86,"=41853493",R81:R86),2)</f>
        <v>0</v>
      </c>
      <c r="AF88" s="2">
        <f>ROUND(SUMIF(AA81:AA86,"=41853493",S81:S86),2)</f>
        <v>0</v>
      </c>
      <c r="AG88" s="2">
        <f>ROUND(SUMIF(AA81:AA86,"=41853493",T81:T86),2)</f>
        <v>0</v>
      </c>
      <c r="AH88" s="2">
        <f>SUMIF(AA81:AA86,"=41853493",U81:U86)</f>
        <v>0</v>
      </c>
      <c r="AI88" s="2">
        <f>SUMIF(AA81:AA86,"=41853493",V81:V86)</f>
        <v>0</v>
      </c>
      <c r="AJ88" s="2">
        <f>ROUND(SUMIF(AA81:AA86,"=41853493",W81:W86),2)</f>
        <v>0</v>
      </c>
      <c r="AK88" s="2">
        <f>ROUND(SUMIF(AA81:AA86,"=41853493",X81:X86),2)</f>
        <v>0</v>
      </c>
      <c r="AL88" s="2">
        <f>ROUND(SUMIF(AA81:AA86,"=41853493",Y81:Y86),2)</f>
        <v>0</v>
      </c>
      <c r="AM88" s="2"/>
      <c r="AN88" s="2"/>
      <c r="AO88" s="2">
        <f t="shared" ref="AO88:BD88" si="79">ROUND(BX88,2)</f>
        <v>0</v>
      </c>
      <c r="AP88" s="2">
        <f t="shared" si="79"/>
        <v>0</v>
      </c>
      <c r="AQ88" s="2">
        <f t="shared" si="79"/>
        <v>0</v>
      </c>
      <c r="AR88" s="2">
        <f t="shared" si="79"/>
        <v>2443363.56</v>
      </c>
      <c r="AS88" s="2">
        <f t="shared" si="79"/>
        <v>2443363.56</v>
      </c>
      <c r="AT88" s="2">
        <f t="shared" si="79"/>
        <v>0</v>
      </c>
      <c r="AU88" s="2">
        <f t="shared" si="79"/>
        <v>0</v>
      </c>
      <c r="AV88" s="2">
        <f t="shared" si="79"/>
        <v>2443363.56</v>
      </c>
      <c r="AW88" s="2">
        <f t="shared" si="79"/>
        <v>2443363.56</v>
      </c>
      <c r="AX88" s="2">
        <f t="shared" si="79"/>
        <v>0</v>
      </c>
      <c r="AY88" s="2">
        <f t="shared" si="79"/>
        <v>2443363.56</v>
      </c>
      <c r="AZ88" s="2">
        <f t="shared" si="79"/>
        <v>0</v>
      </c>
      <c r="BA88" s="2">
        <f t="shared" si="79"/>
        <v>0</v>
      </c>
      <c r="BB88" s="2">
        <f t="shared" si="79"/>
        <v>0</v>
      </c>
      <c r="BC88" s="2">
        <f t="shared" si="79"/>
        <v>0</v>
      </c>
      <c r="BD88" s="2">
        <f t="shared" si="79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ROUND(SUMIF(AA81:AA86,"=41853493",FQ81:FQ86),2)</f>
        <v>0</v>
      </c>
      <c r="BY88" s="2">
        <f>ROUND(SUMIF(AA81:AA86,"=41853493",FR81:FR86),2)</f>
        <v>0</v>
      </c>
      <c r="BZ88" s="2">
        <f>ROUND(SUMIF(AA81:AA86,"=41853493",GL81:GL86),2)</f>
        <v>0</v>
      </c>
      <c r="CA88" s="2">
        <f>ROUND(SUMIF(AA81:AA86,"=41853493",GM81:GM86),2)</f>
        <v>2443363.56</v>
      </c>
      <c r="CB88" s="2">
        <f>ROUND(SUMIF(AA81:AA86,"=41853493",GN81:GN86),2)</f>
        <v>2443363.56</v>
      </c>
      <c r="CC88" s="2">
        <f>ROUND(SUMIF(AA81:AA86,"=41853493",GO81:GO86),2)</f>
        <v>0</v>
      </c>
      <c r="CD88" s="2">
        <f>ROUND(SUMIF(AA81:AA86,"=41853493",GP81:GP86),2)</f>
        <v>0</v>
      </c>
      <c r="CE88" s="2">
        <f>AC88-BX88</f>
        <v>2443363.56</v>
      </c>
      <c r="CF88" s="2">
        <f>AC88-BY88</f>
        <v>2443363.56</v>
      </c>
      <c r="CG88" s="2">
        <f>BX88-BZ88</f>
        <v>0</v>
      </c>
      <c r="CH88" s="2">
        <f>AC88-BX88-BY88+BZ88</f>
        <v>2443363.56</v>
      </c>
      <c r="CI88" s="2">
        <f>BY88-BZ88</f>
        <v>0</v>
      </c>
      <c r="CJ88" s="2">
        <f>ROUND(SUMIF(AA81:AA86,"=41853493",GX81:GX86),2)</f>
        <v>0</v>
      </c>
      <c r="CK88" s="2">
        <f>ROUND(SUMIF(AA81:AA86,"=41853493",GY81:GY86),2)</f>
        <v>0</v>
      </c>
      <c r="CL88" s="2">
        <f>ROUND(SUMIF(AA81:AA86,"=41853493",GZ81:GZ86),2)</f>
        <v>0</v>
      </c>
      <c r="CM88" s="2">
        <f>ROUND(SUMIF(AA81:AA86,"=41853493",HD81:HD86),2)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>
      <c r="A90" s="4">
        <v>50</v>
      </c>
      <c r="B90" s="4">
        <v>1</v>
      </c>
      <c r="C90" s="4">
        <v>0</v>
      </c>
      <c r="D90" s="4">
        <v>1</v>
      </c>
      <c r="E90" s="4">
        <v>201</v>
      </c>
      <c r="F90" s="4">
        <f>ROUND(Source!O88,O90)</f>
        <v>2443363.56</v>
      </c>
      <c r="G90" s="4" t="s">
        <v>47</v>
      </c>
      <c r="H90" s="4" t="s">
        <v>48</v>
      </c>
      <c r="I90" s="4"/>
      <c r="J90" s="4"/>
      <c r="K90" s="4">
        <v>201</v>
      </c>
      <c r="L90" s="4">
        <v>1</v>
      </c>
      <c r="M90" s="4">
        <v>1</v>
      </c>
      <c r="N90" s="4" t="s">
        <v>6</v>
      </c>
      <c r="O90" s="4">
        <v>2</v>
      </c>
      <c r="P90" s="4"/>
      <c r="Q90" s="4"/>
      <c r="R90" s="4"/>
      <c r="S90" s="4"/>
      <c r="T90" s="4"/>
      <c r="U90" s="4"/>
      <c r="V90" s="4"/>
      <c r="W90" s="4">
        <v>2443363.56</v>
      </c>
      <c r="X90" s="4">
        <v>1</v>
      </c>
      <c r="Y90" s="4">
        <v>2443363.56</v>
      </c>
      <c r="Z90" s="4"/>
      <c r="AA90" s="4"/>
      <c r="AB90" s="4"/>
    </row>
    <row r="91" spans="1:245">
      <c r="A91" s="4">
        <v>50</v>
      </c>
      <c r="B91" s="4">
        <v>1</v>
      </c>
      <c r="C91" s="4">
        <v>0</v>
      </c>
      <c r="D91" s="4">
        <v>1</v>
      </c>
      <c r="E91" s="4">
        <v>202</v>
      </c>
      <c r="F91" s="4">
        <f>ROUND(Source!P88,O91)</f>
        <v>2443363.56</v>
      </c>
      <c r="G91" s="4" t="s">
        <v>49</v>
      </c>
      <c r="H91" s="4" t="s">
        <v>50</v>
      </c>
      <c r="I91" s="4"/>
      <c r="J91" s="4"/>
      <c r="K91" s="4">
        <v>202</v>
      </c>
      <c r="L91" s="4">
        <v>2</v>
      </c>
      <c r="M91" s="4">
        <v>1</v>
      </c>
      <c r="N91" s="4" t="s">
        <v>6</v>
      </c>
      <c r="O91" s="4">
        <v>2</v>
      </c>
      <c r="P91" s="4"/>
      <c r="Q91" s="4"/>
      <c r="R91" s="4"/>
      <c r="S91" s="4"/>
      <c r="T91" s="4"/>
      <c r="U91" s="4"/>
      <c r="V91" s="4"/>
      <c r="W91" s="4">
        <v>2443363.56</v>
      </c>
      <c r="X91" s="4">
        <v>1</v>
      </c>
      <c r="Y91" s="4">
        <v>2443363.56</v>
      </c>
      <c r="Z91" s="4"/>
      <c r="AA91" s="4"/>
      <c r="AB91" s="4"/>
    </row>
    <row r="92" spans="1:245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51</v>
      </c>
      <c r="H92" s="4" t="s">
        <v>52</v>
      </c>
      <c r="I92" s="4"/>
      <c r="J92" s="4"/>
      <c r="K92" s="4">
        <v>222</v>
      </c>
      <c r="L92" s="4">
        <v>3</v>
      </c>
      <c r="M92" s="4">
        <v>3</v>
      </c>
      <c r="N92" s="4" t="s">
        <v>6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2443363.56</v>
      </c>
      <c r="G93" s="4" t="s">
        <v>53</v>
      </c>
      <c r="H93" s="4" t="s">
        <v>54</v>
      </c>
      <c r="I93" s="4"/>
      <c r="J93" s="4"/>
      <c r="K93" s="4">
        <v>225</v>
      </c>
      <c r="L93" s="4">
        <v>4</v>
      </c>
      <c r="M93" s="4">
        <v>3</v>
      </c>
      <c r="N93" s="4" t="s">
        <v>6</v>
      </c>
      <c r="O93" s="4">
        <v>2</v>
      </c>
      <c r="P93" s="4"/>
      <c r="Q93" s="4"/>
      <c r="R93" s="4"/>
      <c r="S93" s="4"/>
      <c r="T93" s="4"/>
      <c r="U93" s="4"/>
      <c r="V93" s="4"/>
      <c r="W93" s="4">
        <v>2443363.56</v>
      </c>
      <c r="X93" s="4">
        <v>1</v>
      </c>
      <c r="Y93" s="4">
        <v>2443363.56</v>
      </c>
      <c r="Z93" s="4"/>
      <c r="AA93" s="4"/>
      <c r="AB93" s="4"/>
    </row>
    <row r="94" spans="1:245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2443363.56</v>
      </c>
      <c r="G94" s="4" t="s">
        <v>55</v>
      </c>
      <c r="H94" s="4" t="s">
        <v>56</v>
      </c>
      <c r="I94" s="4"/>
      <c r="J94" s="4"/>
      <c r="K94" s="4">
        <v>226</v>
      </c>
      <c r="L94" s="4">
        <v>5</v>
      </c>
      <c r="M94" s="4">
        <v>3</v>
      </c>
      <c r="N94" s="4" t="s">
        <v>6</v>
      </c>
      <c r="O94" s="4">
        <v>2</v>
      </c>
      <c r="P94" s="4"/>
      <c r="Q94" s="4"/>
      <c r="R94" s="4"/>
      <c r="S94" s="4"/>
      <c r="T94" s="4"/>
      <c r="U94" s="4"/>
      <c r="V94" s="4"/>
      <c r="W94" s="4">
        <v>2443363.56</v>
      </c>
      <c r="X94" s="4">
        <v>1</v>
      </c>
      <c r="Y94" s="4">
        <v>2443363.56</v>
      </c>
      <c r="Z94" s="4"/>
      <c r="AA94" s="4"/>
      <c r="AB94" s="4"/>
    </row>
    <row r="95" spans="1:245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57</v>
      </c>
      <c r="H95" s="4" t="s">
        <v>58</v>
      </c>
      <c r="I95" s="4"/>
      <c r="J95" s="4"/>
      <c r="K95" s="4">
        <v>227</v>
      </c>
      <c r="L95" s="4">
        <v>6</v>
      </c>
      <c r="M95" s="4">
        <v>3</v>
      </c>
      <c r="N95" s="4" t="s">
        <v>6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2443363.56</v>
      </c>
      <c r="G96" s="4" t="s">
        <v>59</v>
      </c>
      <c r="H96" s="4" t="s">
        <v>60</v>
      </c>
      <c r="I96" s="4"/>
      <c r="J96" s="4"/>
      <c r="K96" s="4">
        <v>228</v>
      </c>
      <c r="L96" s="4">
        <v>7</v>
      </c>
      <c r="M96" s="4">
        <v>3</v>
      </c>
      <c r="N96" s="4" t="s">
        <v>6</v>
      </c>
      <c r="O96" s="4">
        <v>2</v>
      </c>
      <c r="P96" s="4"/>
      <c r="Q96" s="4"/>
      <c r="R96" s="4"/>
      <c r="S96" s="4"/>
      <c r="T96" s="4"/>
      <c r="U96" s="4"/>
      <c r="V96" s="4"/>
      <c r="W96" s="4">
        <v>2443363.56</v>
      </c>
      <c r="X96" s="4">
        <v>1</v>
      </c>
      <c r="Y96" s="4">
        <v>2443363.56</v>
      </c>
      <c r="Z96" s="4"/>
      <c r="AA96" s="4"/>
      <c r="AB96" s="4"/>
    </row>
    <row r="97" spans="1:28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61</v>
      </c>
      <c r="H97" s="4" t="s">
        <v>62</v>
      </c>
      <c r="I97" s="4"/>
      <c r="J97" s="4"/>
      <c r="K97" s="4">
        <v>216</v>
      </c>
      <c r="L97" s="4">
        <v>8</v>
      </c>
      <c r="M97" s="4">
        <v>3</v>
      </c>
      <c r="N97" s="4" t="s">
        <v>6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63</v>
      </c>
      <c r="H98" s="4" t="s">
        <v>64</v>
      </c>
      <c r="I98" s="4"/>
      <c r="J98" s="4"/>
      <c r="K98" s="4">
        <v>223</v>
      </c>
      <c r="L98" s="4">
        <v>9</v>
      </c>
      <c r="M98" s="4">
        <v>3</v>
      </c>
      <c r="N98" s="4" t="s">
        <v>6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65</v>
      </c>
      <c r="H99" s="4" t="s">
        <v>66</v>
      </c>
      <c r="I99" s="4"/>
      <c r="J99" s="4"/>
      <c r="K99" s="4">
        <v>229</v>
      </c>
      <c r="L99" s="4">
        <v>10</v>
      </c>
      <c r="M99" s="4">
        <v>3</v>
      </c>
      <c r="N99" s="4" t="s">
        <v>6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0</v>
      </c>
      <c r="G100" s="4" t="s">
        <v>67</v>
      </c>
      <c r="H100" s="4" t="s">
        <v>68</v>
      </c>
      <c r="I100" s="4"/>
      <c r="J100" s="4"/>
      <c r="K100" s="4">
        <v>203</v>
      </c>
      <c r="L100" s="4">
        <v>11</v>
      </c>
      <c r="M100" s="4">
        <v>1</v>
      </c>
      <c r="N100" s="4" t="s">
        <v>6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69</v>
      </c>
      <c r="H101" s="4" t="s">
        <v>70</v>
      </c>
      <c r="I101" s="4"/>
      <c r="J101" s="4"/>
      <c r="K101" s="4">
        <v>231</v>
      </c>
      <c r="L101" s="4">
        <v>12</v>
      </c>
      <c r="M101" s="4">
        <v>3</v>
      </c>
      <c r="N101" s="4" t="s">
        <v>6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0</v>
      </c>
      <c r="G102" s="4" t="s">
        <v>71</v>
      </c>
      <c r="H102" s="4" t="s">
        <v>72</v>
      </c>
      <c r="I102" s="4"/>
      <c r="J102" s="4"/>
      <c r="K102" s="4">
        <v>204</v>
      </c>
      <c r="L102" s="4">
        <v>13</v>
      </c>
      <c r="M102" s="4">
        <v>1</v>
      </c>
      <c r="N102" s="4" t="s">
        <v>6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0</v>
      </c>
      <c r="G103" s="4" t="s">
        <v>73</v>
      </c>
      <c r="H103" s="4" t="s">
        <v>74</v>
      </c>
      <c r="I103" s="4"/>
      <c r="J103" s="4"/>
      <c r="K103" s="4">
        <v>205</v>
      </c>
      <c r="L103" s="4">
        <v>14</v>
      </c>
      <c r="M103" s="4">
        <v>1</v>
      </c>
      <c r="N103" s="4" t="s">
        <v>6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75</v>
      </c>
      <c r="H104" s="4" t="s">
        <v>76</v>
      </c>
      <c r="I104" s="4"/>
      <c r="J104" s="4"/>
      <c r="K104" s="4">
        <v>232</v>
      </c>
      <c r="L104" s="4">
        <v>15</v>
      </c>
      <c r="M104" s="4">
        <v>3</v>
      </c>
      <c r="N104" s="4" t="s">
        <v>6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2443363.56</v>
      </c>
      <c r="G105" s="4" t="s">
        <v>77</v>
      </c>
      <c r="H105" s="4" t="s">
        <v>78</v>
      </c>
      <c r="I105" s="4"/>
      <c r="J105" s="4"/>
      <c r="K105" s="4">
        <v>214</v>
      </c>
      <c r="L105" s="4">
        <v>16</v>
      </c>
      <c r="M105" s="4">
        <v>3</v>
      </c>
      <c r="N105" s="4" t="s">
        <v>6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2443363.56</v>
      </c>
      <c r="X105" s="4">
        <v>1</v>
      </c>
      <c r="Y105" s="4">
        <v>2443363.56</v>
      </c>
      <c r="Z105" s="4"/>
      <c r="AA105" s="4"/>
      <c r="AB105" s="4"/>
    </row>
    <row r="106" spans="1:28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79</v>
      </c>
      <c r="H106" s="4" t="s">
        <v>80</v>
      </c>
      <c r="I106" s="4"/>
      <c r="J106" s="4"/>
      <c r="K106" s="4">
        <v>215</v>
      </c>
      <c r="L106" s="4">
        <v>17</v>
      </c>
      <c r="M106" s="4">
        <v>3</v>
      </c>
      <c r="N106" s="4" t="s">
        <v>6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0</v>
      </c>
      <c r="G107" s="4" t="s">
        <v>81</v>
      </c>
      <c r="H107" s="4" t="s">
        <v>82</v>
      </c>
      <c r="I107" s="4"/>
      <c r="J107" s="4"/>
      <c r="K107" s="4">
        <v>217</v>
      </c>
      <c r="L107" s="4">
        <v>18</v>
      </c>
      <c r="M107" s="4">
        <v>3</v>
      </c>
      <c r="N107" s="4" t="s">
        <v>6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83</v>
      </c>
      <c r="H108" s="4" t="s">
        <v>84</v>
      </c>
      <c r="I108" s="4"/>
      <c r="J108" s="4"/>
      <c r="K108" s="4">
        <v>230</v>
      </c>
      <c r="L108" s="4">
        <v>19</v>
      </c>
      <c r="M108" s="4">
        <v>3</v>
      </c>
      <c r="N108" s="4" t="s">
        <v>6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85</v>
      </c>
      <c r="H109" s="4" t="s">
        <v>86</v>
      </c>
      <c r="I109" s="4"/>
      <c r="J109" s="4"/>
      <c r="K109" s="4">
        <v>206</v>
      </c>
      <c r="L109" s="4">
        <v>20</v>
      </c>
      <c r="M109" s="4">
        <v>3</v>
      </c>
      <c r="N109" s="4" t="s">
        <v>6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>
      <c r="A110" s="4">
        <v>50</v>
      </c>
      <c r="B110" s="4">
        <v>0</v>
      </c>
      <c r="C110" s="4">
        <v>0</v>
      </c>
      <c r="D110" s="4">
        <v>1</v>
      </c>
      <c r="E110" s="4">
        <v>207</v>
      </c>
      <c r="F110" s="4">
        <f>Source!U88</f>
        <v>0</v>
      </c>
      <c r="G110" s="4" t="s">
        <v>87</v>
      </c>
      <c r="H110" s="4" t="s">
        <v>88</v>
      </c>
      <c r="I110" s="4"/>
      <c r="J110" s="4"/>
      <c r="K110" s="4">
        <v>207</v>
      </c>
      <c r="L110" s="4">
        <v>21</v>
      </c>
      <c r="M110" s="4">
        <v>3</v>
      </c>
      <c r="N110" s="4" t="s">
        <v>6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89</v>
      </c>
      <c r="H111" s="4" t="s">
        <v>90</v>
      </c>
      <c r="I111" s="4"/>
      <c r="J111" s="4"/>
      <c r="K111" s="4">
        <v>208</v>
      </c>
      <c r="L111" s="4">
        <v>22</v>
      </c>
      <c r="M111" s="4">
        <v>3</v>
      </c>
      <c r="N111" s="4" t="s">
        <v>6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91</v>
      </c>
      <c r="H112" s="4" t="s">
        <v>92</v>
      </c>
      <c r="I112" s="4"/>
      <c r="J112" s="4"/>
      <c r="K112" s="4">
        <v>209</v>
      </c>
      <c r="L112" s="4">
        <v>23</v>
      </c>
      <c r="M112" s="4">
        <v>3</v>
      </c>
      <c r="N112" s="4" t="s">
        <v>6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93</v>
      </c>
      <c r="H113" s="4" t="s">
        <v>94</v>
      </c>
      <c r="I113" s="4"/>
      <c r="J113" s="4"/>
      <c r="K113" s="4">
        <v>233</v>
      </c>
      <c r="L113" s="4">
        <v>24</v>
      </c>
      <c r="M113" s="4">
        <v>3</v>
      </c>
      <c r="N113" s="4" t="s">
        <v>6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0</v>
      </c>
      <c r="G114" s="4" t="s">
        <v>95</v>
      </c>
      <c r="H114" s="4" t="s">
        <v>96</v>
      </c>
      <c r="I114" s="4"/>
      <c r="J114" s="4"/>
      <c r="K114" s="4">
        <v>210</v>
      </c>
      <c r="L114" s="4">
        <v>25</v>
      </c>
      <c r="M114" s="4">
        <v>1</v>
      </c>
      <c r="N114" s="4" t="s">
        <v>6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0</v>
      </c>
      <c r="G115" s="4" t="s">
        <v>97</v>
      </c>
      <c r="H115" s="4" t="s">
        <v>98</v>
      </c>
      <c r="I115" s="4"/>
      <c r="J115" s="4"/>
      <c r="K115" s="4">
        <v>211</v>
      </c>
      <c r="L115" s="4">
        <v>26</v>
      </c>
      <c r="M115" s="4">
        <v>1</v>
      </c>
      <c r="N115" s="4" t="s">
        <v>6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>
      <c r="A116" s="4">
        <v>50</v>
      </c>
      <c r="B116" s="4">
        <v>1</v>
      </c>
      <c r="C116" s="4">
        <v>0</v>
      </c>
      <c r="D116" s="4">
        <v>1</v>
      </c>
      <c r="E116" s="4">
        <v>224</v>
      </c>
      <c r="F116" s="4">
        <f>ROUND(Source!AR88,O116)</f>
        <v>2443363.56</v>
      </c>
      <c r="G116" s="4" t="s">
        <v>99</v>
      </c>
      <c r="H116" s="4" t="s">
        <v>100</v>
      </c>
      <c r="I116" s="4"/>
      <c r="J116" s="4"/>
      <c r="K116" s="4">
        <v>224</v>
      </c>
      <c r="L116" s="4">
        <v>27</v>
      </c>
      <c r="M116" s="4">
        <v>1</v>
      </c>
      <c r="N116" s="4" t="s">
        <v>6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2443363.56</v>
      </c>
      <c r="X116" s="4">
        <v>1</v>
      </c>
      <c r="Y116" s="4">
        <v>2443363.56</v>
      </c>
      <c r="Z116" s="4"/>
      <c r="AA116" s="4"/>
      <c r="AB116" s="4"/>
    </row>
    <row r="117" spans="1:28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f>0</f>
        <v>0</v>
      </c>
      <c r="G117" s="4" t="s">
        <v>101</v>
      </c>
      <c r="H117" s="4" t="s">
        <v>102</v>
      </c>
      <c r="I117" s="4"/>
      <c r="J117" s="4"/>
      <c r="K117" s="4">
        <v>212</v>
      </c>
      <c r="L117" s="4">
        <v>28</v>
      </c>
      <c r="M117" s="4">
        <v>1</v>
      </c>
      <c r="N117" s="4" t="s">
        <v>6</v>
      </c>
      <c r="O117" s="4">
        <v>-1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f>ROUND(IF(F117=0,0,F116/100*F117),O118)</f>
        <v>0</v>
      </c>
      <c r="G118" s="4" t="s">
        <v>103</v>
      </c>
      <c r="H118" s="4" t="s">
        <v>104</v>
      </c>
      <c r="I118" s="4"/>
      <c r="J118" s="4"/>
      <c r="K118" s="4">
        <v>212</v>
      </c>
      <c r="L118" s="4">
        <v>29</v>
      </c>
      <c r="M118" s="4">
        <v>1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>
      <c r="A119" s="4">
        <v>50</v>
      </c>
      <c r="B119" s="4">
        <v>0</v>
      </c>
      <c r="C119" s="4">
        <v>0</v>
      </c>
      <c r="D119" s="4">
        <v>2</v>
      </c>
      <c r="E119" s="4">
        <v>0</v>
      </c>
      <c r="F119" s="4">
        <f>ROUND(IF(F117=0,0,F116+F118),O119)</f>
        <v>0</v>
      </c>
      <c r="G119" s="4" t="s">
        <v>105</v>
      </c>
      <c r="H119" s="4" t="s">
        <v>106</v>
      </c>
      <c r="I119" s="4"/>
      <c r="J119" s="4"/>
      <c r="K119" s="4">
        <v>212</v>
      </c>
      <c r="L119" s="4">
        <v>30</v>
      </c>
      <c r="M119" s="4">
        <v>1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>
      <c r="A120" s="4">
        <v>50</v>
      </c>
      <c r="B120" s="4">
        <v>0</v>
      </c>
      <c r="C120" s="4">
        <v>0</v>
      </c>
      <c r="D120" s="4">
        <v>2</v>
      </c>
      <c r="E120" s="4">
        <v>0</v>
      </c>
      <c r="F120" s="4">
        <f>0</f>
        <v>0</v>
      </c>
      <c r="G120" s="4" t="s">
        <v>107</v>
      </c>
      <c r="H120" s="4" t="s">
        <v>108</v>
      </c>
      <c r="I120" s="4"/>
      <c r="J120" s="4"/>
      <c r="K120" s="4">
        <v>212</v>
      </c>
      <c r="L120" s="4">
        <v>31</v>
      </c>
      <c r="M120" s="4">
        <v>1</v>
      </c>
      <c r="N120" s="4" t="s">
        <v>6</v>
      </c>
      <c r="O120" s="4">
        <v>-1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>
      <c r="A121" s="4">
        <v>50</v>
      </c>
      <c r="B121" s="4">
        <v>0</v>
      </c>
      <c r="C121" s="4">
        <v>0</v>
      </c>
      <c r="D121" s="4">
        <v>2</v>
      </c>
      <c r="E121" s="4">
        <v>0</v>
      </c>
      <c r="F121" s="4">
        <f>ROUND(IF(F120=0,0,(F116+F118)/100*F120),O121)</f>
        <v>0</v>
      </c>
      <c r="G121" s="4" t="s">
        <v>109</v>
      </c>
      <c r="H121" s="4" t="s">
        <v>110</v>
      </c>
      <c r="I121" s="4"/>
      <c r="J121" s="4"/>
      <c r="K121" s="4">
        <v>212</v>
      </c>
      <c r="L121" s="4">
        <v>32</v>
      </c>
      <c r="M121" s="4">
        <v>1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>
      <c r="A122" s="4">
        <v>50</v>
      </c>
      <c r="B122" s="4">
        <v>0</v>
      </c>
      <c r="C122" s="4">
        <v>0</v>
      </c>
      <c r="D122" s="4">
        <v>2</v>
      </c>
      <c r="E122" s="4">
        <v>0</v>
      </c>
      <c r="F122" s="4">
        <f>ROUND(IF(F121=0,0,F116+F118+F121),O122)</f>
        <v>0</v>
      </c>
      <c r="G122" s="4" t="s">
        <v>111</v>
      </c>
      <c r="H122" s="4" t="s">
        <v>112</v>
      </c>
      <c r="I122" s="4"/>
      <c r="J122" s="4"/>
      <c r="K122" s="4">
        <v>212</v>
      </c>
      <c r="L122" s="4">
        <v>33</v>
      </c>
      <c r="M122" s="4">
        <v>1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>
      <c r="A123" s="4">
        <v>50</v>
      </c>
      <c r="B123" s="4">
        <v>0</v>
      </c>
      <c r="C123" s="4">
        <v>0</v>
      </c>
      <c r="D123" s="4">
        <v>2</v>
      </c>
      <c r="E123" s="4">
        <v>0</v>
      </c>
      <c r="F123" s="4">
        <f>0</f>
        <v>0</v>
      </c>
      <c r="G123" s="4" t="s">
        <v>113</v>
      </c>
      <c r="H123" s="4" t="s">
        <v>114</v>
      </c>
      <c r="I123" s="4"/>
      <c r="J123" s="4"/>
      <c r="K123" s="4">
        <v>212</v>
      </c>
      <c r="L123" s="4">
        <v>34</v>
      </c>
      <c r="M123" s="4">
        <v>1</v>
      </c>
      <c r="N123" s="4" t="s">
        <v>6</v>
      </c>
      <c r="O123" s="4">
        <v>-1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>
      <c r="A124" s="4">
        <v>50</v>
      </c>
      <c r="B124" s="4">
        <v>0</v>
      </c>
      <c r="C124" s="4">
        <v>0</v>
      </c>
      <c r="D124" s="4">
        <v>2</v>
      </c>
      <c r="E124" s="4">
        <v>0</v>
      </c>
      <c r="F124" s="4">
        <f>ROUND(IF(F123=0,0,(F116+F118+F121)/100*F123),O124)</f>
        <v>0</v>
      </c>
      <c r="G124" s="4" t="s">
        <v>115</v>
      </c>
      <c r="H124" s="4" t="s">
        <v>116</v>
      </c>
      <c r="I124" s="4"/>
      <c r="J124" s="4"/>
      <c r="K124" s="4">
        <v>212</v>
      </c>
      <c r="L124" s="4">
        <v>35</v>
      </c>
      <c r="M124" s="4">
        <v>1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>
      <c r="A125" s="4">
        <v>50</v>
      </c>
      <c r="B125" s="4">
        <v>0</v>
      </c>
      <c r="C125" s="4">
        <v>0</v>
      </c>
      <c r="D125" s="4">
        <v>2</v>
      </c>
      <c r="E125" s="4">
        <v>0</v>
      </c>
      <c r="F125" s="4">
        <f>ROUND(IF(F124=0,0,F116+F118+F121+F124),O125)</f>
        <v>0</v>
      </c>
      <c r="G125" s="4" t="s">
        <v>117</v>
      </c>
      <c r="H125" s="4" t="s">
        <v>118</v>
      </c>
      <c r="I125" s="4"/>
      <c r="J125" s="4"/>
      <c r="K125" s="4">
        <v>212</v>
      </c>
      <c r="L125" s="4">
        <v>36</v>
      </c>
      <c r="M125" s="4">
        <v>1</v>
      </c>
      <c r="N125" s="4" t="s">
        <v>6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>
      <c r="A126" s="4">
        <v>50</v>
      </c>
      <c r="B126" s="4">
        <v>0</v>
      </c>
      <c r="C126" s="4">
        <v>0</v>
      </c>
      <c r="D126" s="4">
        <v>2</v>
      </c>
      <c r="E126" s="4">
        <v>0</v>
      </c>
      <c r="F126" s="4">
        <f>ROUND(ROUND(F116+F118+F121+F124,2),O126)</f>
        <v>2443363.56</v>
      </c>
      <c r="G126" s="4" t="s">
        <v>119</v>
      </c>
      <c r="H126" s="4" t="s">
        <v>120</v>
      </c>
      <c r="I126" s="4"/>
      <c r="J126" s="4"/>
      <c r="K126" s="4">
        <v>212</v>
      </c>
      <c r="L126" s="4">
        <v>37</v>
      </c>
      <c r="M126" s="4">
        <v>3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2443363.56</v>
      </c>
      <c r="X126" s="4">
        <v>1</v>
      </c>
      <c r="Y126" s="4">
        <v>2443363.56</v>
      </c>
      <c r="Z126" s="4"/>
      <c r="AA126" s="4"/>
      <c r="AB126" s="4"/>
    </row>
    <row r="127" spans="1:28">
      <c r="A127" s="4">
        <v>50</v>
      </c>
      <c r="B127" s="4">
        <v>1</v>
      </c>
      <c r="C127" s="4">
        <v>0</v>
      </c>
      <c r="D127" s="4">
        <v>2</v>
      </c>
      <c r="E127" s="4">
        <v>0</v>
      </c>
      <c r="F127" s="4">
        <f>ROUND(ROUND(F126*0.2,2),O127)</f>
        <v>488672.71</v>
      </c>
      <c r="G127" s="4" t="s">
        <v>121</v>
      </c>
      <c r="H127" s="4" t="s">
        <v>122</v>
      </c>
      <c r="I127" s="4"/>
      <c r="J127" s="4"/>
      <c r="K127" s="4">
        <v>212</v>
      </c>
      <c r="L127" s="4">
        <v>38</v>
      </c>
      <c r="M127" s="4">
        <v>1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488672.71</v>
      </c>
      <c r="X127" s="4">
        <v>1</v>
      </c>
      <c r="Y127" s="4">
        <v>488672.71</v>
      </c>
      <c r="Z127" s="4"/>
      <c r="AA127" s="4"/>
      <c r="AB127" s="4"/>
    </row>
    <row r="128" spans="1:28">
      <c r="A128" s="4">
        <v>50</v>
      </c>
      <c r="B128" s="4">
        <v>1</v>
      </c>
      <c r="C128" s="4">
        <v>0</v>
      </c>
      <c r="D128" s="4">
        <v>2</v>
      </c>
      <c r="E128" s="4">
        <v>213</v>
      </c>
      <c r="F128" s="4">
        <f>ROUND(ROUND(F126+F127,2),O128)</f>
        <v>2932036.27</v>
      </c>
      <c r="G128" s="4" t="s">
        <v>123</v>
      </c>
      <c r="H128" s="4" t="s">
        <v>124</v>
      </c>
      <c r="I128" s="4"/>
      <c r="J128" s="4"/>
      <c r="K128" s="4">
        <v>212</v>
      </c>
      <c r="L128" s="4">
        <v>39</v>
      </c>
      <c r="M128" s="4">
        <v>1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2932036.27</v>
      </c>
      <c r="X128" s="4">
        <v>1</v>
      </c>
      <c r="Y128" s="4">
        <v>2932036.27</v>
      </c>
      <c r="Z128" s="4"/>
      <c r="AA128" s="4"/>
      <c r="AB128" s="4"/>
    </row>
    <row r="130" spans="1:245">
      <c r="A130" s="1">
        <v>4</v>
      </c>
      <c r="B130" s="1">
        <v>1</v>
      </c>
      <c r="C130" s="1"/>
      <c r="D130" s="1">
        <f>ROW(A139)</f>
        <v>139</v>
      </c>
      <c r="E130" s="1"/>
      <c r="F130" s="1" t="s">
        <v>15</v>
      </c>
      <c r="G130" s="1" t="s">
        <v>144</v>
      </c>
      <c r="H130" s="1" t="s">
        <v>6</v>
      </c>
      <c r="I130" s="1">
        <v>0</v>
      </c>
      <c r="J130" s="1"/>
      <c r="K130" s="1">
        <v>0</v>
      </c>
      <c r="L130" s="1"/>
      <c r="M130" s="1" t="s">
        <v>6</v>
      </c>
      <c r="N130" s="1"/>
      <c r="O130" s="1"/>
      <c r="P130" s="1"/>
      <c r="Q130" s="1"/>
      <c r="R130" s="1"/>
      <c r="S130" s="1">
        <v>0</v>
      </c>
      <c r="T130" s="1"/>
      <c r="U130" s="1" t="s">
        <v>6</v>
      </c>
      <c r="V130" s="1">
        <v>0</v>
      </c>
      <c r="W130" s="1"/>
      <c r="X130" s="1"/>
      <c r="Y130" s="1"/>
      <c r="Z130" s="1"/>
      <c r="AA130" s="1"/>
      <c r="AB130" s="1" t="s">
        <v>6</v>
      </c>
      <c r="AC130" s="1" t="s">
        <v>6</v>
      </c>
      <c r="AD130" s="1" t="s">
        <v>6</v>
      </c>
      <c r="AE130" s="1" t="s">
        <v>6</v>
      </c>
      <c r="AF130" s="1" t="s">
        <v>6</v>
      </c>
      <c r="AG130" s="1" t="s">
        <v>6</v>
      </c>
      <c r="AH130" s="1"/>
      <c r="AI130" s="1"/>
      <c r="AJ130" s="1"/>
      <c r="AK130" s="1"/>
      <c r="AL130" s="1"/>
      <c r="AM130" s="1"/>
      <c r="AN130" s="1"/>
      <c r="AO130" s="1"/>
      <c r="AP130" s="1" t="s">
        <v>6</v>
      </c>
      <c r="AQ130" s="1" t="s">
        <v>6</v>
      </c>
      <c r="AR130" s="1" t="s">
        <v>6</v>
      </c>
      <c r="AS130" s="1"/>
      <c r="AT130" s="1"/>
      <c r="AU130" s="1"/>
      <c r="AV130" s="1"/>
      <c r="AW130" s="1"/>
      <c r="AX130" s="1"/>
      <c r="AY130" s="1"/>
      <c r="AZ130" s="1" t="s">
        <v>6</v>
      </c>
      <c r="BA130" s="1"/>
      <c r="BB130" s="1" t="s">
        <v>6</v>
      </c>
      <c r="BC130" s="1" t="s">
        <v>6</v>
      </c>
      <c r="BD130" s="1" t="s">
        <v>6</v>
      </c>
      <c r="BE130" s="1" t="s">
        <v>6</v>
      </c>
      <c r="BF130" s="1" t="s">
        <v>6</v>
      </c>
      <c r="BG130" s="1" t="s">
        <v>6</v>
      </c>
      <c r="BH130" s="1" t="s">
        <v>6</v>
      </c>
      <c r="BI130" s="1" t="s">
        <v>6</v>
      </c>
      <c r="BJ130" s="1" t="s">
        <v>6</v>
      </c>
      <c r="BK130" s="1" t="s">
        <v>6</v>
      </c>
      <c r="BL130" s="1" t="s">
        <v>6</v>
      </c>
      <c r="BM130" s="1" t="s">
        <v>6</v>
      </c>
      <c r="BN130" s="1" t="s">
        <v>6</v>
      </c>
      <c r="BO130" s="1" t="s">
        <v>6</v>
      </c>
      <c r="BP130" s="1" t="s">
        <v>6</v>
      </c>
      <c r="BQ130" s="1"/>
      <c r="BR130" s="1"/>
      <c r="BS130" s="1"/>
      <c r="BT130" s="1"/>
      <c r="BU130" s="1"/>
      <c r="BV130" s="1"/>
      <c r="BW130" s="1"/>
      <c r="BX130" s="1">
        <v>0</v>
      </c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>
        <v>0</v>
      </c>
    </row>
    <row r="132" spans="1:245">
      <c r="A132" s="2">
        <v>52</v>
      </c>
      <c r="B132" s="2">
        <f t="shared" ref="B132:G132" si="80">B139</f>
        <v>1</v>
      </c>
      <c r="C132" s="2">
        <f t="shared" si="80"/>
        <v>4</v>
      </c>
      <c r="D132" s="2">
        <f t="shared" si="80"/>
        <v>130</v>
      </c>
      <c r="E132" s="2">
        <f t="shared" si="80"/>
        <v>0</v>
      </c>
      <c r="F132" s="2" t="str">
        <f t="shared" si="80"/>
        <v>Новый раздел</v>
      </c>
      <c r="G132" s="2" t="str">
        <f t="shared" si="80"/>
        <v>Монтаж узла учета 0,4кВ</v>
      </c>
      <c r="H132" s="2"/>
      <c r="I132" s="2"/>
      <c r="J132" s="2"/>
      <c r="K132" s="2"/>
      <c r="L132" s="2"/>
      <c r="M132" s="2"/>
      <c r="N132" s="2"/>
      <c r="O132" s="2">
        <f t="shared" ref="O132:AT132" si="81">O139</f>
        <v>7129.87</v>
      </c>
      <c r="P132" s="2">
        <f t="shared" si="81"/>
        <v>189.4</v>
      </c>
      <c r="Q132" s="2">
        <f t="shared" si="81"/>
        <v>260.10000000000002</v>
      </c>
      <c r="R132" s="2">
        <f t="shared" si="81"/>
        <v>92.33</v>
      </c>
      <c r="S132" s="2">
        <f t="shared" si="81"/>
        <v>6588.04</v>
      </c>
      <c r="T132" s="2">
        <f t="shared" si="81"/>
        <v>0</v>
      </c>
      <c r="U132" s="2">
        <f t="shared" si="81"/>
        <v>21.746400000000001</v>
      </c>
      <c r="V132" s="2">
        <f t="shared" si="81"/>
        <v>0.26</v>
      </c>
      <c r="W132" s="2">
        <f t="shared" si="81"/>
        <v>0</v>
      </c>
      <c r="X132" s="2">
        <f t="shared" si="81"/>
        <v>6479.96</v>
      </c>
      <c r="Y132" s="2">
        <f t="shared" si="81"/>
        <v>3406.98</v>
      </c>
      <c r="Z132" s="2">
        <f t="shared" si="81"/>
        <v>0</v>
      </c>
      <c r="AA132" s="2">
        <f t="shared" si="81"/>
        <v>0</v>
      </c>
      <c r="AB132" s="2">
        <f t="shared" si="81"/>
        <v>7129.87</v>
      </c>
      <c r="AC132" s="2">
        <f t="shared" si="81"/>
        <v>189.4</v>
      </c>
      <c r="AD132" s="2">
        <f t="shared" si="81"/>
        <v>260.10000000000002</v>
      </c>
      <c r="AE132" s="2">
        <f t="shared" si="81"/>
        <v>92.33</v>
      </c>
      <c r="AF132" s="2">
        <f t="shared" si="81"/>
        <v>6588.04</v>
      </c>
      <c r="AG132" s="2">
        <f t="shared" si="81"/>
        <v>0</v>
      </c>
      <c r="AH132" s="2">
        <f t="shared" si="81"/>
        <v>21.746400000000001</v>
      </c>
      <c r="AI132" s="2">
        <f t="shared" si="81"/>
        <v>0.26</v>
      </c>
      <c r="AJ132" s="2">
        <f t="shared" si="81"/>
        <v>0</v>
      </c>
      <c r="AK132" s="2">
        <f t="shared" si="81"/>
        <v>6479.96</v>
      </c>
      <c r="AL132" s="2">
        <f t="shared" si="81"/>
        <v>3406.98</v>
      </c>
      <c r="AM132" s="2">
        <f t="shared" si="81"/>
        <v>0</v>
      </c>
      <c r="AN132" s="2">
        <f t="shared" si="81"/>
        <v>0</v>
      </c>
      <c r="AO132" s="2">
        <f t="shared" si="81"/>
        <v>0</v>
      </c>
      <c r="AP132" s="2">
        <f t="shared" si="81"/>
        <v>0</v>
      </c>
      <c r="AQ132" s="2">
        <f t="shared" si="81"/>
        <v>0</v>
      </c>
      <c r="AR132" s="2">
        <f t="shared" si="81"/>
        <v>17016.810000000001</v>
      </c>
      <c r="AS132" s="2">
        <f t="shared" si="81"/>
        <v>0</v>
      </c>
      <c r="AT132" s="2">
        <f t="shared" si="81"/>
        <v>16885.05</v>
      </c>
      <c r="AU132" s="2">
        <f t="shared" ref="AU132:BZ132" si="82">AU139</f>
        <v>131.76</v>
      </c>
      <c r="AV132" s="2">
        <f t="shared" si="82"/>
        <v>189.4</v>
      </c>
      <c r="AW132" s="2">
        <f t="shared" si="82"/>
        <v>189.4</v>
      </c>
      <c r="AX132" s="2">
        <f t="shared" si="82"/>
        <v>0</v>
      </c>
      <c r="AY132" s="2">
        <f t="shared" si="82"/>
        <v>189.4</v>
      </c>
      <c r="AZ132" s="2">
        <f t="shared" si="82"/>
        <v>0</v>
      </c>
      <c r="BA132" s="2">
        <f t="shared" si="82"/>
        <v>0</v>
      </c>
      <c r="BB132" s="2">
        <f t="shared" si="82"/>
        <v>0</v>
      </c>
      <c r="BC132" s="2">
        <f t="shared" si="82"/>
        <v>0</v>
      </c>
      <c r="BD132" s="2">
        <f t="shared" si="82"/>
        <v>0</v>
      </c>
      <c r="BE132" s="2">
        <f t="shared" si="82"/>
        <v>0</v>
      </c>
      <c r="BF132" s="2">
        <f t="shared" si="82"/>
        <v>0</v>
      </c>
      <c r="BG132" s="2">
        <f t="shared" si="82"/>
        <v>0</v>
      </c>
      <c r="BH132" s="2">
        <f t="shared" si="82"/>
        <v>0</v>
      </c>
      <c r="BI132" s="2">
        <f t="shared" si="82"/>
        <v>0</v>
      </c>
      <c r="BJ132" s="2">
        <f t="shared" si="82"/>
        <v>0</v>
      </c>
      <c r="BK132" s="2">
        <f t="shared" si="82"/>
        <v>0</v>
      </c>
      <c r="BL132" s="2">
        <f t="shared" si="82"/>
        <v>0</v>
      </c>
      <c r="BM132" s="2">
        <f t="shared" si="82"/>
        <v>0</v>
      </c>
      <c r="BN132" s="2">
        <f t="shared" si="82"/>
        <v>0</v>
      </c>
      <c r="BO132" s="2">
        <f t="shared" si="82"/>
        <v>0</v>
      </c>
      <c r="BP132" s="2">
        <f t="shared" si="82"/>
        <v>0</v>
      </c>
      <c r="BQ132" s="2">
        <f t="shared" si="82"/>
        <v>0</v>
      </c>
      <c r="BR132" s="2">
        <f t="shared" si="82"/>
        <v>0</v>
      </c>
      <c r="BS132" s="2">
        <f t="shared" si="82"/>
        <v>0</v>
      </c>
      <c r="BT132" s="2">
        <f t="shared" si="82"/>
        <v>0</v>
      </c>
      <c r="BU132" s="2">
        <f t="shared" si="82"/>
        <v>0</v>
      </c>
      <c r="BV132" s="2">
        <f t="shared" si="82"/>
        <v>0</v>
      </c>
      <c r="BW132" s="2">
        <f t="shared" si="82"/>
        <v>0</v>
      </c>
      <c r="BX132" s="2">
        <f t="shared" si="82"/>
        <v>0</v>
      </c>
      <c r="BY132" s="2">
        <f t="shared" si="82"/>
        <v>0</v>
      </c>
      <c r="BZ132" s="2">
        <f t="shared" si="82"/>
        <v>0</v>
      </c>
      <c r="CA132" s="2">
        <f t="shared" ref="CA132:DF132" si="83">CA139</f>
        <v>17016.810000000001</v>
      </c>
      <c r="CB132" s="2">
        <f t="shared" si="83"/>
        <v>0</v>
      </c>
      <c r="CC132" s="2">
        <f t="shared" si="83"/>
        <v>16885.05</v>
      </c>
      <c r="CD132" s="2">
        <f t="shared" si="83"/>
        <v>131.76</v>
      </c>
      <c r="CE132" s="2">
        <f t="shared" si="83"/>
        <v>189.4</v>
      </c>
      <c r="CF132" s="2">
        <f t="shared" si="83"/>
        <v>189.4</v>
      </c>
      <c r="CG132" s="2">
        <f t="shared" si="83"/>
        <v>0</v>
      </c>
      <c r="CH132" s="2">
        <f t="shared" si="83"/>
        <v>189.4</v>
      </c>
      <c r="CI132" s="2">
        <f t="shared" si="83"/>
        <v>0</v>
      </c>
      <c r="CJ132" s="2">
        <f t="shared" si="83"/>
        <v>0</v>
      </c>
      <c r="CK132" s="2">
        <f t="shared" si="83"/>
        <v>0</v>
      </c>
      <c r="CL132" s="2">
        <f t="shared" si="83"/>
        <v>0</v>
      </c>
      <c r="CM132" s="2">
        <f t="shared" si="83"/>
        <v>0</v>
      </c>
      <c r="CN132" s="2">
        <f t="shared" si="83"/>
        <v>0</v>
      </c>
      <c r="CO132" s="2">
        <f t="shared" si="83"/>
        <v>0</v>
      </c>
      <c r="CP132" s="2">
        <f t="shared" si="83"/>
        <v>0</v>
      </c>
      <c r="CQ132" s="2">
        <f t="shared" si="83"/>
        <v>0</v>
      </c>
      <c r="CR132" s="2">
        <f t="shared" si="83"/>
        <v>0</v>
      </c>
      <c r="CS132" s="2">
        <f t="shared" si="83"/>
        <v>0</v>
      </c>
      <c r="CT132" s="2">
        <f t="shared" si="83"/>
        <v>0</v>
      </c>
      <c r="CU132" s="2">
        <f t="shared" si="83"/>
        <v>0</v>
      </c>
      <c r="CV132" s="2">
        <f t="shared" si="83"/>
        <v>0</v>
      </c>
      <c r="CW132" s="2">
        <f t="shared" si="83"/>
        <v>0</v>
      </c>
      <c r="CX132" s="2">
        <f t="shared" si="83"/>
        <v>0</v>
      </c>
      <c r="CY132" s="2">
        <f t="shared" si="83"/>
        <v>0</v>
      </c>
      <c r="CZ132" s="2">
        <f t="shared" si="83"/>
        <v>0</v>
      </c>
      <c r="DA132" s="2">
        <f t="shared" si="83"/>
        <v>0</v>
      </c>
      <c r="DB132" s="2">
        <f t="shared" si="83"/>
        <v>0</v>
      </c>
      <c r="DC132" s="2">
        <f t="shared" si="83"/>
        <v>0</v>
      </c>
      <c r="DD132" s="2">
        <f t="shared" si="83"/>
        <v>0</v>
      </c>
      <c r="DE132" s="2">
        <f t="shared" si="83"/>
        <v>0</v>
      </c>
      <c r="DF132" s="2">
        <f t="shared" si="83"/>
        <v>0</v>
      </c>
      <c r="DG132" s="3">
        <f t="shared" ref="DG132:EL132" si="84">DG139</f>
        <v>0</v>
      </c>
      <c r="DH132" s="3">
        <f t="shared" si="84"/>
        <v>0</v>
      </c>
      <c r="DI132" s="3">
        <f t="shared" si="84"/>
        <v>0</v>
      </c>
      <c r="DJ132" s="3">
        <f t="shared" si="84"/>
        <v>0</v>
      </c>
      <c r="DK132" s="3">
        <f t="shared" si="84"/>
        <v>0</v>
      </c>
      <c r="DL132" s="3">
        <f t="shared" si="84"/>
        <v>0</v>
      </c>
      <c r="DM132" s="3">
        <f t="shared" si="84"/>
        <v>0</v>
      </c>
      <c r="DN132" s="3">
        <f t="shared" si="84"/>
        <v>0</v>
      </c>
      <c r="DO132" s="3">
        <f t="shared" si="84"/>
        <v>0</v>
      </c>
      <c r="DP132" s="3">
        <f t="shared" si="84"/>
        <v>0</v>
      </c>
      <c r="DQ132" s="3">
        <f t="shared" si="84"/>
        <v>0</v>
      </c>
      <c r="DR132" s="3">
        <f t="shared" si="84"/>
        <v>0</v>
      </c>
      <c r="DS132" s="3">
        <f t="shared" si="84"/>
        <v>0</v>
      </c>
      <c r="DT132" s="3">
        <f t="shared" si="84"/>
        <v>0</v>
      </c>
      <c r="DU132" s="3">
        <f t="shared" si="84"/>
        <v>0</v>
      </c>
      <c r="DV132" s="3">
        <f t="shared" si="84"/>
        <v>0</v>
      </c>
      <c r="DW132" s="3">
        <f t="shared" si="84"/>
        <v>0</v>
      </c>
      <c r="DX132" s="3">
        <f t="shared" si="84"/>
        <v>0</v>
      </c>
      <c r="DY132" s="3">
        <f t="shared" si="84"/>
        <v>0</v>
      </c>
      <c r="DZ132" s="3">
        <f t="shared" si="84"/>
        <v>0</v>
      </c>
      <c r="EA132" s="3">
        <f t="shared" si="84"/>
        <v>0</v>
      </c>
      <c r="EB132" s="3">
        <f t="shared" si="84"/>
        <v>0</v>
      </c>
      <c r="EC132" s="3">
        <f t="shared" si="84"/>
        <v>0</v>
      </c>
      <c r="ED132" s="3">
        <f t="shared" si="84"/>
        <v>0</v>
      </c>
      <c r="EE132" s="3">
        <f t="shared" si="84"/>
        <v>0</v>
      </c>
      <c r="EF132" s="3">
        <f t="shared" si="84"/>
        <v>0</v>
      </c>
      <c r="EG132" s="3">
        <f t="shared" si="84"/>
        <v>0</v>
      </c>
      <c r="EH132" s="3">
        <f t="shared" si="84"/>
        <v>0</v>
      </c>
      <c r="EI132" s="3">
        <f t="shared" si="84"/>
        <v>0</v>
      </c>
      <c r="EJ132" s="3">
        <f t="shared" si="84"/>
        <v>0</v>
      </c>
      <c r="EK132" s="3">
        <f t="shared" si="84"/>
        <v>0</v>
      </c>
      <c r="EL132" s="3">
        <f t="shared" si="84"/>
        <v>0</v>
      </c>
      <c r="EM132" s="3">
        <f t="shared" ref="EM132:FR132" si="85">EM139</f>
        <v>0</v>
      </c>
      <c r="EN132" s="3">
        <f t="shared" si="85"/>
        <v>0</v>
      </c>
      <c r="EO132" s="3">
        <f t="shared" si="85"/>
        <v>0</v>
      </c>
      <c r="EP132" s="3">
        <f t="shared" si="85"/>
        <v>0</v>
      </c>
      <c r="EQ132" s="3">
        <f t="shared" si="85"/>
        <v>0</v>
      </c>
      <c r="ER132" s="3">
        <f t="shared" si="85"/>
        <v>0</v>
      </c>
      <c r="ES132" s="3">
        <f t="shared" si="85"/>
        <v>0</v>
      </c>
      <c r="ET132" s="3">
        <f t="shared" si="85"/>
        <v>0</v>
      </c>
      <c r="EU132" s="3">
        <f t="shared" si="85"/>
        <v>0</v>
      </c>
      <c r="EV132" s="3">
        <f t="shared" si="85"/>
        <v>0</v>
      </c>
      <c r="EW132" s="3">
        <f t="shared" si="85"/>
        <v>0</v>
      </c>
      <c r="EX132" s="3">
        <f t="shared" si="85"/>
        <v>0</v>
      </c>
      <c r="EY132" s="3">
        <f t="shared" si="85"/>
        <v>0</v>
      </c>
      <c r="EZ132" s="3">
        <f t="shared" si="85"/>
        <v>0</v>
      </c>
      <c r="FA132" s="3">
        <f t="shared" si="85"/>
        <v>0</v>
      </c>
      <c r="FB132" s="3">
        <f t="shared" si="85"/>
        <v>0</v>
      </c>
      <c r="FC132" s="3">
        <f t="shared" si="85"/>
        <v>0</v>
      </c>
      <c r="FD132" s="3">
        <f t="shared" si="85"/>
        <v>0</v>
      </c>
      <c r="FE132" s="3">
        <f t="shared" si="85"/>
        <v>0</v>
      </c>
      <c r="FF132" s="3">
        <f t="shared" si="85"/>
        <v>0</v>
      </c>
      <c r="FG132" s="3">
        <f t="shared" si="85"/>
        <v>0</v>
      </c>
      <c r="FH132" s="3">
        <f t="shared" si="85"/>
        <v>0</v>
      </c>
      <c r="FI132" s="3">
        <f t="shared" si="85"/>
        <v>0</v>
      </c>
      <c r="FJ132" s="3">
        <f t="shared" si="85"/>
        <v>0</v>
      </c>
      <c r="FK132" s="3">
        <f t="shared" si="85"/>
        <v>0</v>
      </c>
      <c r="FL132" s="3">
        <f t="shared" si="85"/>
        <v>0</v>
      </c>
      <c r="FM132" s="3">
        <f t="shared" si="85"/>
        <v>0</v>
      </c>
      <c r="FN132" s="3">
        <f t="shared" si="85"/>
        <v>0</v>
      </c>
      <c r="FO132" s="3">
        <f t="shared" si="85"/>
        <v>0</v>
      </c>
      <c r="FP132" s="3">
        <f t="shared" si="85"/>
        <v>0</v>
      </c>
      <c r="FQ132" s="3">
        <f t="shared" si="85"/>
        <v>0</v>
      </c>
      <c r="FR132" s="3">
        <f t="shared" si="85"/>
        <v>0</v>
      </c>
      <c r="FS132" s="3">
        <f t="shared" ref="FS132:GX132" si="86">FS139</f>
        <v>0</v>
      </c>
      <c r="FT132" s="3">
        <f t="shared" si="86"/>
        <v>0</v>
      </c>
      <c r="FU132" s="3">
        <f t="shared" si="86"/>
        <v>0</v>
      </c>
      <c r="FV132" s="3">
        <f t="shared" si="86"/>
        <v>0</v>
      </c>
      <c r="FW132" s="3">
        <f t="shared" si="86"/>
        <v>0</v>
      </c>
      <c r="FX132" s="3">
        <f t="shared" si="86"/>
        <v>0</v>
      </c>
      <c r="FY132" s="3">
        <f t="shared" si="86"/>
        <v>0</v>
      </c>
      <c r="FZ132" s="3">
        <f t="shared" si="86"/>
        <v>0</v>
      </c>
      <c r="GA132" s="3">
        <f t="shared" si="86"/>
        <v>0</v>
      </c>
      <c r="GB132" s="3">
        <f t="shared" si="86"/>
        <v>0</v>
      </c>
      <c r="GC132" s="3">
        <f t="shared" si="86"/>
        <v>0</v>
      </c>
      <c r="GD132" s="3">
        <f t="shared" si="86"/>
        <v>0</v>
      </c>
      <c r="GE132" s="3">
        <f t="shared" si="86"/>
        <v>0</v>
      </c>
      <c r="GF132" s="3">
        <f t="shared" si="86"/>
        <v>0</v>
      </c>
      <c r="GG132" s="3">
        <f t="shared" si="86"/>
        <v>0</v>
      </c>
      <c r="GH132" s="3">
        <f t="shared" si="86"/>
        <v>0</v>
      </c>
      <c r="GI132" s="3">
        <f t="shared" si="86"/>
        <v>0</v>
      </c>
      <c r="GJ132" s="3">
        <f t="shared" si="86"/>
        <v>0</v>
      </c>
      <c r="GK132" s="3">
        <f t="shared" si="86"/>
        <v>0</v>
      </c>
      <c r="GL132" s="3">
        <f t="shared" si="86"/>
        <v>0</v>
      </c>
      <c r="GM132" s="3">
        <f t="shared" si="86"/>
        <v>0</v>
      </c>
      <c r="GN132" s="3">
        <f t="shared" si="86"/>
        <v>0</v>
      </c>
      <c r="GO132" s="3">
        <f t="shared" si="86"/>
        <v>0</v>
      </c>
      <c r="GP132" s="3">
        <f t="shared" si="86"/>
        <v>0</v>
      </c>
      <c r="GQ132" s="3">
        <f t="shared" si="86"/>
        <v>0</v>
      </c>
      <c r="GR132" s="3">
        <f t="shared" si="86"/>
        <v>0</v>
      </c>
      <c r="GS132" s="3">
        <f t="shared" si="86"/>
        <v>0</v>
      </c>
      <c r="GT132" s="3">
        <f t="shared" si="86"/>
        <v>0</v>
      </c>
      <c r="GU132" s="3">
        <f t="shared" si="86"/>
        <v>0</v>
      </c>
      <c r="GV132" s="3">
        <f t="shared" si="86"/>
        <v>0</v>
      </c>
      <c r="GW132" s="3">
        <f t="shared" si="86"/>
        <v>0</v>
      </c>
      <c r="GX132" s="3">
        <f t="shared" si="86"/>
        <v>0</v>
      </c>
    </row>
    <row r="134" spans="1:245">
      <c r="A134">
        <v>17</v>
      </c>
      <c r="B134">
        <v>1</v>
      </c>
      <c r="C134">
        <f>ROW(SmtRes!A26)</f>
        <v>26</v>
      </c>
      <c r="D134">
        <f>ROW(EtalonRes!A26)</f>
        <v>26</v>
      </c>
      <c r="E134" t="s">
        <v>145</v>
      </c>
      <c r="F134" t="s">
        <v>146</v>
      </c>
      <c r="G134" t="s">
        <v>147</v>
      </c>
      <c r="H134" t="s">
        <v>20</v>
      </c>
      <c r="I134">
        <v>13</v>
      </c>
      <c r="J134">
        <v>0</v>
      </c>
      <c r="K134">
        <v>13</v>
      </c>
      <c r="O134">
        <f>ROUND(CP134,2)</f>
        <v>3250.73</v>
      </c>
      <c r="P134">
        <f>SUMIF(SmtRes!AQ21:'SmtRes'!AQ26,"=1",SmtRes!DF21:'SmtRes'!DF26)</f>
        <v>57.64</v>
      </c>
      <c r="Q134">
        <f>SUMIF(SmtRes!AQ21:'SmtRes'!AQ26,"=1",SmtRes!DG21:'SmtRes'!DG26)</f>
        <v>260.10000000000002</v>
      </c>
      <c r="R134">
        <f>SUMIF(SmtRes!AQ21:'SmtRes'!AQ26,"=1",SmtRes!DH21:'SmtRes'!DH26)</f>
        <v>92.33</v>
      </c>
      <c r="S134">
        <f>SUMIF(SmtRes!AQ21:'SmtRes'!AQ26,"=1",SmtRes!DI21:'SmtRes'!DI26)</f>
        <v>2840.66</v>
      </c>
      <c r="T134">
        <f>ROUND(CU134*I134,2)</f>
        <v>0</v>
      </c>
      <c r="U134">
        <f>SUMIF(SmtRes!AQ21:'SmtRes'!AQ26,"=1",SmtRes!CV21:'SmtRes'!CV26)</f>
        <v>9.1</v>
      </c>
      <c r="V134">
        <f>SUMIF(SmtRes!AQ21:'SmtRes'!AQ26,"=1",SmtRes!CW21:'SmtRes'!CW26)</f>
        <v>0.26</v>
      </c>
      <c r="W134">
        <f>ROUND(CX134*I134,2)</f>
        <v>0</v>
      </c>
      <c r="X134">
        <f t="shared" ref="X134:Y137" si="87">ROUND(CY134,2)</f>
        <v>2845</v>
      </c>
      <c r="Y134">
        <f t="shared" si="87"/>
        <v>1495.82</v>
      </c>
      <c r="AA134">
        <v>41853493</v>
      </c>
      <c r="AB134">
        <f>ROUND((AC134+AD134+AF134),2)</f>
        <v>242.34</v>
      </c>
      <c r="AC134">
        <f>ROUND((SUM(SmtRes!BQ21:'SmtRes'!BQ26)),2)</f>
        <v>3.82</v>
      </c>
      <c r="AD134">
        <f>ROUND((((SUM(SmtRes!BR21:'SmtRes'!BR26))-(SUM(SmtRes!BS21:'SmtRes'!BS26)))+AE134),2)</f>
        <v>20.010000000000002</v>
      </c>
      <c r="AE134">
        <f>ROUND((SUM(SmtRes!BS21:'SmtRes'!BS26)),2)</f>
        <v>7.1</v>
      </c>
      <c r="AF134">
        <f>ROUND((SUM(SmtRes!BT21:'SmtRes'!BT26)),2)</f>
        <v>218.51</v>
      </c>
      <c r="AG134">
        <f>ROUND((AP134),2)</f>
        <v>0</v>
      </c>
      <c r="AH134">
        <f>(SUM(SmtRes!BU21:'SmtRes'!BU26))</f>
        <v>0.7</v>
      </c>
      <c r="AI134">
        <f>(SUM(SmtRes!BV21:'SmtRes'!BV26))</f>
        <v>0.02</v>
      </c>
      <c r="AJ134">
        <f>(AS134)</f>
        <v>0</v>
      </c>
      <c r="AK134">
        <v>249.44478000000001</v>
      </c>
      <c r="AL134">
        <v>3.8221799999999999</v>
      </c>
      <c r="AM134">
        <v>20.007899999999999</v>
      </c>
      <c r="AN134">
        <v>7.1027000000000005</v>
      </c>
      <c r="AO134">
        <v>218.512</v>
      </c>
      <c r="AP134">
        <v>0</v>
      </c>
      <c r="AQ134">
        <v>0.7</v>
      </c>
      <c r="AR134">
        <v>0.02</v>
      </c>
      <c r="AS134">
        <v>0</v>
      </c>
      <c r="AT134">
        <v>97</v>
      </c>
      <c r="AU134">
        <v>51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6</v>
      </c>
      <c r="BE134" t="s">
        <v>6</v>
      </c>
      <c r="BF134" t="s">
        <v>6</v>
      </c>
      <c r="BG134" t="s">
        <v>6</v>
      </c>
      <c r="BH134">
        <v>0</v>
      </c>
      <c r="BI134">
        <v>2</v>
      </c>
      <c r="BJ134" t="s">
        <v>148</v>
      </c>
      <c r="BM134">
        <v>108001</v>
      </c>
      <c r="BN134">
        <v>0</v>
      </c>
      <c r="BO134" t="s">
        <v>6</v>
      </c>
      <c r="BP134">
        <v>0</v>
      </c>
      <c r="BQ134">
        <v>3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6</v>
      </c>
      <c r="BZ134">
        <v>97</v>
      </c>
      <c r="CA134">
        <v>51</v>
      </c>
      <c r="CB134" t="s">
        <v>6</v>
      </c>
      <c r="CE134">
        <v>0</v>
      </c>
      <c r="CF134">
        <v>0</v>
      </c>
      <c r="CG134">
        <v>0</v>
      </c>
      <c r="CM134">
        <v>0</v>
      </c>
      <c r="CN134" t="s">
        <v>6</v>
      </c>
      <c r="CO134">
        <v>0</v>
      </c>
      <c r="CP134">
        <f>(P134+Q134+S134+R134)</f>
        <v>3250.7299999999996</v>
      </c>
      <c r="CQ134">
        <f>SUMIF(SmtRes!AQ21:'SmtRes'!AQ26,"=1",SmtRes!AA21:'SmtRes'!AA26)</f>
        <v>147790.96</v>
      </c>
      <c r="CR134">
        <f>SUMIF(SmtRes!AQ21:'SmtRes'!AQ26,"=1",SmtRes!AB21:'SmtRes'!AB26)</f>
        <v>2000.79</v>
      </c>
      <c r="CS134">
        <f>SUMIF(SmtRes!AQ21:'SmtRes'!AQ26,"=1",SmtRes!AC21:'SmtRes'!AC26)</f>
        <v>710.27</v>
      </c>
      <c r="CT134">
        <f>SUMIF(SmtRes!AQ21:'SmtRes'!AQ26,"=1",SmtRes!AD21:'SmtRes'!AD26)</f>
        <v>312.16000000000003</v>
      </c>
      <c r="CU134">
        <f>AG134</f>
        <v>0</v>
      </c>
      <c r="CV134">
        <f>SUMIF(SmtRes!AQ21:'SmtRes'!AQ26,"=1",SmtRes!BU21:'SmtRes'!BU26)</f>
        <v>0.7</v>
      </c>
      <c r="CW134">
        <f>SUMIF(SmtRes!AQ21:'SmtRes'!AQ26,"=1",SmtRes!BV21:'SmtRes'!BV26)</f>
        <v>0.02</v>
      </c>
      <c r="CX134">
        <f>AJ134</f>
        <v>0</v>
      </c>
      <c r="CY134">
        <f>(((S134+R134)*AT134)/100)</f>
        <v>2845.0002999999997</v>
      </c>
      <c r="CZ134">
        <f>(((S134+R134)*AU134)/100)</f>
        <v>1495.8248999999998</v>
      </c>
      <c r="DC134" t="s">
        <v>6</v>
      </c>
      <c r="DD134" t="s">
        <v>6</v>
      </c>
      <c r="DE134" t="s">
        <v>6</v>
      </c>
      <c r="DF134" t="s">
        <v>6</v>
      </c>
      <c r="DG134" t="s">
        <v>6</v>
      </c>
      <c r="DH134" t="s">
        <v>6</v>
      </c>
      <c r="DI134" t="s">
        <v>6</v>
      </c>
      <c r="DJ134" t="s">
        <v>6</v>
      </c>
      <c r="DK134" t="s">
        <v>6</v>
      </c>
      <c r="DL134" t="s">
        <v>6</v>
      </c>
      <c r="DM134" t="s">
        <v>6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20</v>
      </c>
      <c r="DW134" t="s">
        <v>20</v>
      </c>
      <c r="DX134">
        <v>1</v>
      </c>
      <c r="DZ134" t="s">
        <v>6</v>
      </c>
      <c r="EA134" t="s">
        <v>6</v>
      </c>
      <c r="EB134" t="s">
        <v>6</v>
      </c>
      <c r="EC134" t="s">
        <v>6</v>
      </c>
      <c r="EE134">
        <v>40604465</v>
      </c>
      <c r="EF134">
        <v>3</v>
      </c>
      <c r="EG134" t="s">
        <v>22</v>
      </c>
      <c r="EH134">
        <v>0</v>
      </c>
      <c r="EI134" t="s">
        <v>6</v>
      </c>
      <c r="EJ134">
        <v>2</v>
      </c>
      <c r="EK134">
        <v>108001</v>
      </c>
      <c r="EL134" t="s">
        <v>23</v>
      </c>
      <c r="EM134" t="s">
        <v>24</v>
      </c>
      <c r="EO134" t="s">
        <v>6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0.7</v>
      </c>
      <c r="EX134">
        <v>0.02</v>
      </c>
      <c r="EY134">
        <v>0</v>
      </c>
      <c r="FQ134">
        <v>0</v>
      </c>
      <c r="FR134">
        <f>ROUND(IF(BI134=3,GM134,0),2)</f>
        <v>0</v>
      </c>
      <c r="FS134">
        <v>0</v>
      </c>
      <c r="FX134">
        <v>97</v>
      </c>
      <c r="FY134">
        <v>51</v>
      </c>
      <c r="GA134" t="s">
        <v>6</v>
      </c>
      <c r="GD134">
        <v>1</v>
      </c>
      <c r="GF134">
        <v>-2039368814</v>
      </c>
      <c r="GG134">
        <v>2</v>
      </c>
      <c r="GH134">
        <v>1</v>
      </c>
      <c r="GI134">
        <v>-2</v>
      </c>
      <c r="GJ134">
        <v>0</v>
      </c>
      <c r="GK134">
        <v>0</v>
      </c>
      <c r="GL134">
        <f>ROUND(IF(AND(BH134=3,BI134=3,FS134&lt;&gt;0),P134,0),2)</f>
        <v>0</v>
      </c>
      <c r="GM134">
        <f>ROUND(O134+X134+Y134,2)+GX134</f>
        <v>7591.55</v>
      </c>
      <c r="GN134">
        <f>IF(OR(BI134=0,BI134=1),GM134,0)</f>
        <v>0</v>
      </c>
      <c r="GO134">
        <f>IF(BI134=2,GM134,0)</f>
        <v>7591.55</v>
      </c>
      <c r="GP134">
        <f>IF(BI134=4,GM134+GX134,0)</f>
        <v>0</v>
      </c>
      <c r="GR134">
        <v>0</v>
      </c>
      <c r="GS134">
        <v>3</v>
      </c>
      <c r="GT134">
        <v>0</v>
      </c>
      <c r="GU134" t="s">
        <v>6</v>
      </c>
      <c r="GV134">
        <f>ROUND((GT134),2)</f>
        <v>0</v>
      </c>
      <c r="GW134">
        <v>1</v>
      </c>
      <c r="GX134">
        <f>ROUND(HC134*I134,2)</f>
        <v>0</v>
      </c>
      <c r="HA134">
        <v>0</v>
      </c>
      <c r="HB134">
        <v>0</v>
      </c>
      <c r="HC134">
        <f>GV134*GW134</f>
        <v>0</v>
      </c>
      <c r="HE134" t="s">
        <v>6</v>
      </c>
      <c r="HF134" t="s">
        <v>6</v>
      </c>
      <c r="HM134" t="s">
        <v>6</v>
      </c>
      <c r="HN134" t="s">
        <v>25</v>
      </c>
      <c r="HO134" t="s">
        <v>26</v>
      </c>
      <c r="HP134" t="s">
        <v>23</v>
      </c>
      <c r="HQ134" t="s">
        <v>23</v>
      </c>
      <c r="IK134">
        <v>0</v>
      </c>
    </row>
    <row r="135" spans="1:245">
      <c r="A135">
        <v>18</v>
      </c>
      <c r="B135">
        <v>1</v>
      </c>
      <c r="C135">
        <v>26</v>
      </c>
      <c r="E135" t="s">
        <v>149</v>
      </c>
      <c r="F135" t="s">
        <v>28</v>
      </c>
      <c r="G135" t="s">
        <v>29</v>
      </c>
      <c r="H135" t="s">
        <v>30</v>
      </c>
      <c r="I135">
        <f>J135</f>
        <v>2</v>
      </c>
      <c r="J135">
        <v>2</v>
      </c>
      <c r="K135">
        <v>2</v>
      </c>
      <c r="O135">
        <f>ROUND(P135,2)</f>
        <v>56.81</v>
      </c>
      <c r="P135">
        <f>ROUND(ROUND(ROUND(SUMIF(SmtRes!AQ21:'SmtRes'!AQ26,"=1",SmtRes!CU21:'SmtRes'!CU26),2),2)*I135/100,2)</f>
        <v>56.81</v>
      </c>
      <c r="Q135">
        <f>ROUND(CR135*I135,2)</f>
        <v>0</v>
      </c>
      <c r="R135">
        <f>ROUND(CS135*I135,2)</f>
        <v>0</v>
      </c>
      <c r="S135">
        <f>ROUND(CT135*I135,2)</f>
        <v>0</v>
      </c>
      <c r="T135">
        <f>ROUND(CU135*I135,2)</f>
        <v>0</v>
      </c>
      <c r="U135">
        <f>CV135*I135</f>
        <v>0</v>
      </c>
      <c r="V135">
        <f>CW135*I135</f>
        <v>0</v>
      </c>
      <c r="W135">
        <f>ROUND(CX135*I135,2)</f>
        <v>0</v>
      </c>
      <c r="X135">
        <f t="shared" si="87"/>
        <v>0</v>
      </c>
      <c r="Y135">
        <f t="shared" si="87"/>
        <v>0</v>
      </c>
      <c r="AA135">
        <v>41853493</v>
      </c>
      <c r="AB135">
        <f>ROUND((AC135+AD135+AF135),2)</f>
        <v>0</v>
      </c>
      <c r="AC135">
        <f>ROUND((ES135),2)</f>
        <v>0</v>
      </c>
      <c r="AD135">
        <f>ROUND((((ET135)-(EU135))+AE135),2)</f>
        <v>0</v>
      </c>
      <c r="AE135">
        <f>ROUND((EU135),2)</f>
        <v>0</v>
      </c>
      <c r="AF135">
        <f>ROUND((EV135),2)</f>
        <v>0</v>
      </c>
      <c r="AG135">
        <f>ROUND((AP135),2)</f>
        <v>0</v>
      </c>
      <c r="AH135">
        <f>(EW135)</f>
        <v>0</v>
      </c>
      <c r="AI135">
        <f>(EX135)</f>
        <v>0</v>
      </c>
      <c r="AJ135">
        <f>(AS135)</f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6</v>
      </c>
      <c r="BE135" t="s">
        <v>6</v>
      </c>
      <c r="BF135" t="s">
        <v>6</v>
      </c>
      <c r="BG135" t="s">
        <v>6</v>
      </c>
      <c r="BH135">
        <v>3</v>
      </c>
      <c r="BI135">
        <v>4</v>
      </c>
      <c r="BJ135" t="s">
        <v>6</v>
      </c>
      <c r="BM135">
        <v>0</v>
      </c>
      <c r="BN135">
        <v>0</v>
      </c>
      <c r="BO135" t="s">
        <v>6</v>
      </c>
      <c r="BP135">
        <v>0</v>
      </c>
      <c r="BQ135">
        <v>16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6</v>
      </c>
      <c r="BZ135">
        <v>0</v>
      </c>
      <c r="CA135">
        <v>0</v>
      </c>
      <c r="CB135" t="s">
        <v>6</v>
      </c>
      <c r="CE135">
        <v>0</v>
      </c>
      <c r="CF135">
        <v>0</v>
      </c>
      <c r="CG135">
        <v>0</v>
      </c>
      <c r="CM135">
        <v>0</v>
      </c>
      <c r="CN135" t="s">
        <v>6</v>
      </c>
      <c r="CO135">
        <v>0</v>
      </c>
      <c r="CP135">
        <f>0</f>
        <v>0</v>
      </c>
      <c r="CQ135">
        <f>0</f>
        <v>0</v>
      </c>
      <c r="CR135">
        <f>0</f>
        <v>0</v>
      </c>
      <c r="CS135">
        <f>0</f>
        <v>0</v>
      </c>
      <c r="CT135">
        <f>0</f>
        <v>0</v>
      </c>
      <c r="CU135">
        <f>0</f>
        <v>0</v>
      </c>
      <c r="CV135">
        <f>0</f>
        <v>0</v>
      </c>
      <c r="CW135">
        <f>0</f>
        <v>0</v>
      </c>
      <c r="CX135">
        <f>0</f>
        <v>0</v>
      </c>
      <c r="CY135">
        <f>0</f>
        <v>0</v>
      </c>
      <c r="CZ135">
        <f>0</f>
        <v>0</v>
      </c>
      <c r="DC135" t="s">
        <v>6</v>
      </c>
      <c r="DD135" t="s">
        <v>6</v>
      </c>
      <c r="DE135" t="s">
        <v>6</v>
      </c>
      <c r="DF135" t="s">
        <v>6</v>
      </c>
      <c r="DG135" t="s">
        <v>6</v>
      </c>
      <c r="DH135" t="s">
        <v>6</v>
      </c>
      <c r="DI135" t="s">
        <v>6</v>
      </c>
      <c r="DJ135" t="s">
        <v>6</v>
      </c>
      <c r="DK135" t="s">
        <v>6</v>
      </c>
      <c r="DL135" t="s">
        <v>6</v>
      </c>
      <c r="DM135" t="s">
        <v>6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30</v>
      </c>
      <c r="DW135" t="s">
        <v>30</v>
      </c>
      <c r="DX135">
        <v>1</v>
      </c>
      <c r="DZ135" t="s">
        <v>6</v>
      </c>
      <c r="EA135" t="s">
        <v>6</v>
      </c>
      <c r="EB135" t="s">
        <v>6</v>
      </c>
      <c r="EC135" t="s">
        <v>6</v>
      </c>
      <c r="EE135">
        <v>40604523</v>
      </c>
      <c r="EF135">
        <v>16</v>
      </c>
      <c r="EG135" t="s">
        <v>31</v>
      </c>
      <c r="EH135">
        <v>0</v>
      </c>
      <c r="EI135" t="s">
        <v>6</v>
      </c>
      <c r="EJ135">
        <v>4</v>
      </c>
      <c r="EK135">
        <v>0</v>
      </c>
      <c r="EL135" t="s">
        <v>32</v>
      </c>
      <c r="EM135" t="s">
        <v>33</v>
      </c>
      <c r="EO135" t="s">
        <v>6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FQ135">
        <v>0</v>
      </c>
      <c r="FR135">
        <f>ROUND(IF(BI135=3,GM135,0),2)</f>
        <v>0</v>
      </c>
      <c r="FS135">
        <v>0</v>
      </c>
      <c r="FX135">
        <v>0</v>
      </c>
      <c r="FY135">
        <v>0</v>
      </c>
      <c r="GA135" t="s">
        <v>6</v>
      </c>
      <c r="GD135">
        <v>1</v>
      </c>
      <c r="GF135">
        <v>274903907</v>
      </c>
      <c r="GG135">
        <v>2</v>
      </c>
      <c r="GH135">
        <v>1</v>
      </c>
      <c r="GI135">
        <v>-2</v>
      </c>
      <c r="GJ135">
        <v>0</v>
      </c>
      <c r="GK135">
        <v>0</v>
      </c>
      <c r="GL135">
        <f>ROUND(IF(AND(BH135=3,BI135=3,FS135&lt;&gt;0),P135,0),2)</f>
        <v>0</v>
      </c>
      <c r="GM135">
        <f>ROUND(O135+X135+Y135,2)+GX135</f>
        <v>56.81</v>
      </c>
      <c r="GN135">
        <f>IF(OR(BI135=0,BI135=1),GM135,0)</f>
        <v>0</v>
      </c>
      <c r="GO135">
        <f>IF(BI135=2,GM135,0)</f>
        <v>0</v>
      </c>
      <c r="GP135">
        <f>IF(BI135=4,GM135+GX135,0)</f>
        <v>56.81</v>
      </c>
      <c r="GR135">
        <v>0</v>
      </c>
      <c r="GS135">
        <v>3</v>
      </c>
      <c r="GT135">
        <v>0</v>
      </c>
      <c r="GU135" t="s">
        <v>6</v>
      </c>
      <c r="GV135">
        <f>ROUND((GT135),2)</f>
        <v>0</v>
      </c>
      <c r="GW135">
        <v>1</v>
      </c>
      <c r="GX135">
        <f>ROUND(HC135*I135,2)</f>
        <v>0</v>
      </c>
      <c r="HA135">
        <v>0</v>
      </c>
      <c r="HB135">
        <v>0</v>
      </c>
      <c r="HC135">
        <f>0</f>
        <v>0</v>
      </c>
      <c r="HE135" t="s">
        <v>6</v>
      </c>
      <c r="HF135" t="s">
        <v>6</v>
      </c>
      <c r="HM135" t="s">
        <v>6</v>
      </c>
      <c r="HN135" t="s">
        <v>6</v>
      </c>
      <c r="HO135" t="s">
        <v>6</v>
      </c>
      <c r="HP135" t="s">
        <v>6</v>
      </c>
      <c r="HQ135" t="s">
        <v>6</v>
      </c>
      <c r="IK135">
        <v>0</v>
      </c>
    </row>
    <row r="136" spans="1:245">
      <c r="A136">
        <v>17</v>
      </c>
      <c r="B136">
        <v>1</v>
      </c>
      <c r="C136">
        <f>ROW(SmtRes!A28)</f>
        <v>28</v>
      </c>
      <c r="D136">
        <f>ROW(EtalonRes!A28)</f>
        <v>28</v>
      </c>
      <c r="E136" t="s">
        <v>150</v>
      </c>
      <c r="F136" t="s">
        <v>42</v>
      </c>
      <c r="G136" t="s">
        <v>43</v>
      </c>
      <c r="H136" t="s">
        <v>44</v>
      </c>
      <c r="I136">
        <f>ROUND(104/100,7)</f>
        <v>1.04</v>
      </c>
      <c r="J136">
        <v>0</v>
      </c>
      <c r="K136">
        <f>ROUND(104/100,7)</f>
        <v>1.04</v>
      </c>
      <c r="O136">
        <f>ROUND(CP136,2)</f>
        <v>3747.38</v>
      </c>
      <c r="P136">
        <f>SUMIF(SmtRes!AQ27:'SmtRes'!AQ28,"=1",SmtRes!DF27:'SmtRes'!DF28)</f>
        <v>0</v>
      </c>
      <c r="Q136">
        <f>SUMIF(SmtRes!AQ27:'SmtRes'!AQ28,"=1",SmtRes!DG27:'SmtRes'!DG28)</f>
        <v>0</v>
      </c>
      <c r="R136">
        <f>SUMIF(SmtRes!AQ27:'SmtRes'!AQ28,"=1",SmtRes!DH27:'SmtRes'!DH28)</f>
        <v>0</v>
      </c>
      <c r="S136">
        <f>SUMIF(SmtRes!AQ27:'SmtRes'!AQ28,"=1",SmtRes!DI27:'SmtRes'!DI28)</f>
        <v>3747.38</v>
      </c>
      <c r="T136">
        <f>ROUND(CU136*I136,2)</f>
        <v>0</v>
      </c>
      <c r="U136">
        <f>SUMIF(SmtRes!AQ27:'SmtRes'!AQ28,"=1",SmtRes!CV27:'SmtRes'!CV28)</f>
        <v>12.6464</v>
      </c>
      <c r="V136">
        <f>SUMIF(SmtRes!AQ27:'SmtRes'!AQ28,"=1",SmtRes!CW27:'SmtRes'!CW28)</f>
        <v>0</v>
      </c>
      <c r="W136">
        <f>ROUND(CX136*I136,2)</f>
        <v>0</v>
      </c>
      <c r="X136">
        <f t="shared" si="87"/>
        <v>3634.96</v>
      </c>
      <c r="Y136">
        <f t="shared" si="87"/>
        <v>1911.16</v>
      </c>
      <c r="AA136">
        <v>41853493</v>
      </c>
      <c r="AB136">
        <f>ROUND((AC136+AD136+AF136),2)</f>
        <v>3603.25</v>
      </c>
      <c r="AC136">
        <f>ROUND((0),2)</f>
        <v>0</v>
      </c>
      <c r="AD136">
        <f>ROUND((((0)-(0))+AE136),2)</f>
        <v>0</v>
      </c>
      <c r="AE136">
        <f>ROUND((0),2)</f>
        <v>0</v>
      </c>
      <c r="AF136">
        <f>ROUND((SUM(SmtRes!BT27:'SmtRes'!BT28)),2)</f>
        <v>3603.25</v>
      </c>
      <c r="AG136">
        <f>ROUND((AP136),2)</f>
        <v>0</v>
      </c>
      <c r="AH136">
        <f>(SUM(SmtRes!BU27:'SmtRes'!BU28))</f>
        <v>12.16</v>
      </c>
      <c r="AI136">
        <f>(0)</f>
        <v>0</v>
      </c>
      <c r="AJ136">
        <f>(AS136)</f>
        <v>0</v>
      </c>
      <c r="AK136">
        <v>3603.2512000000002</v>
      </c>
      <c r="AL136">
        <v>0</v>
      </c>
      <c r="AM136">
        <v>0</v>
      </c>
      <c r="AN136">
        <v>0</v>
      </c>
      <c r="AO136">
        <v>3603.2512000000002</v>
      </c>
      <c r="AP136">
        <v>0</v>
      </c>
      <c r="AQ136">
        <v>12.16</v>
      </c>
      <c r="AR136">
        <v>0</v>
      </c>
      <c r="AS136">
        <v>0</v>
      </c>
      <c r="AT136">
        <v>97</v>
      </c>
      <c r="AU136">
        <v>51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6</v>
      </c>
      <c r="BE136" t="s">
        <v>6</v>
      </c>
      <c r="BF136" t="s">
        <v>6</v>
      </c>
      <c r="BG136" t="s">
        <v>6</v>
      </c>
      <c r="BH136">
        <v>0</v>
      </c>
      <c r="BI136">
        <v>2</v>
      </c>
      <c r="BJ136" t="s">
        <v>45</v>
      </c>
      <c r="BM136">
        <v>108001</v>
      </c>
      <c r="BN136">
        <v>0</v>
      </c>
      <c r="BO136" t="s">
        <v>6</v>
      </c>
      <c r="BP136">
        <v>0</v>
      </c>
      <c r="BQ136">
        <v>3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6</v>
      </c>
      <c r="BZ136">
        <v>97</v>
      </c>
      <c r="CA136">
        <v>51</v>
      </c>
      <c r="CB136" t="s">
        <v>6</v>
      </c>
      <c r="CE136">
        <v>0</v>
      </c>
      <c r="CF136">
        <v>0</v>
      </c>
      <c r="CG136">
        <v>0</v>
      </c>
      <c r="CM136">
        <v>0</v>
      </c>
      <c r="CN136" t="s">
        <v>6</v>
      </c>
      <c r="CO136">
        <v>0</v>
      </c>
      <c r="CP136">
        <f>(P136+Q136+S136+R136)</f>
        <v>3747.38</v>
      </c>
      <c r="CQ136">
        <f>SUMIF(SmtRes!AQ27:'SmtRes'!AQ28,"=1",SmtRes!AA27:'SmtRes'!AA28)</f>
        <v>0</v>
      </c>
      <c r="CR136">
        <f>SUMIF(SmtRes!AQ27:'SmtRes'!AQ28,"=1",SmtRes!AB27:'SmtRes'!AB28)</f>
        <v>0</v>
      </c>
      <c r="CS136">
        <f>SUMIF(SmtRes!AQ27:'SmtRes'!AQ28,"=1",SmtRes!AC27:'SmtRes'!AC28)</f>
        <v>0</v>
      </c>
      <c r="CT136">
        <f>SUMIF(SmtRes!AQ27:'SmtRes'!AQ28,"=1",SmtRes!AD27:'SmtRes'!AD28)</f>
        <v>296.32</v>
      </c>
      <c r="CU136">
        <f>AG136</f>
        <v>0</v>
      </c>
      <c r="CV136">
        <f>SUMIF(SmtRes!AQ27:'SmtRes'!AQ28,"=1",SmtRes!BU27:'SmtRes'!BU28)</f>
        <v>12.16</v>
      </c>
      <c r="CW136">
        <f>SUMIF(SmtRes!AQ27:'SmtRes'!AQ28,"=1",SmtRes!BV27:'SmtRes'!BV28)</f>
        <v>0</v>
      </c>
      <c r="CX136">
        <f>AJ136</f>
        <v>0</v>
      </c>
      <c r="CY136">
        <f>(((S136+R136)*AT136)/100)</f>
        <v>3634.9585999999999</v>
      </c>
      <c r="CZ136">
        <f>(((S136+R136)*AU136)/100)</f>
        <v>1911.1638</v>
      </c>
      <c r="DC136" t="s">
        <v>6</v>
      </c>
      <c r="DD136" t="s">
        <v>6</v>
      </c>
      <c r="DE136" t="s">
        <v>6</v>
      </c>
      <c r="DF136" t="s">
        <v>6</v>
      </c>
      <c r="DG136" t="s">
        <v>6</v>
      </c>
      <c r="DH136" t="s">
        <v>6</v>
      </c>
      <c r="DI136" t="s">
        <v>6</v>
      </c>
      <c r="DJ136" t="s">
        <v>6</v>
      </c>
      <c r="DK136" t="s">
        <v>6</v>
      </c>
      <c r="DL136" t="s">
        <v>6</v>
      </c>
      <c r="DM136" t="s">
        <v>6</v>
      </c>
      <c r="DN136">
        <v>0</v>
      </c>
      <c r="DO136">
        <v>0</v>
      </c>
      <c r="DP136">
        <v>1</v>
      </c>
      <c r="DQ136">
        <v>1</v>
      </c>
      <c r="DU136">
        <v>1013</v>
      </c>
      <c r="DV136" t="s">
        <v>44</v>
      </c>
      <c r="DW136" t="s">
        <v>44</v>
      </c>
      <c r="DX136">
        <v>1</v>
      </c>
      <c r="DZ136" t="s">
        <v>6</v>
      </c>
      <c r="EA136" t="s">
        <v>6</v>
      </c>
      <c r="EB136" t="s">
        <v>6</v>
      </c>
      <c r="EC136" t="s">
        <v>6</v>
      </c>
      <c r="EE136">
        <v>40604465</v>
      </c>
      <c r="EF136">
        <v>3</v>
      </c>
      <c r="EG136" t="s">
        <v>22</v>
      </c>
      <c r="EH136">
        <v>0</v>
      </c>
      <c r="EI136" t="s">
        <v>6</v>
      </c>
      <c r="EJ136">
        <v>2</v>
      </c>
      <c r="EK136">
        <v>108001</v>
      </c>
      <c r="EL136" t="s">
        <v>23</v>
      </c>
      <c r="EM136" t="s">
        <v>24</v>
      </c>
      <c r="EO136" t="s">
        <v>6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12.16</v>
      </c>
      <c r="EX136">
        <v>0</v>
      </c>
      <c r="EY136">
        <v>0</v>
      </c>
      <c r="FQ136">
        <v>0</v>
      </c>
      <c r="FR136">
        <f>ROUND(IF(BI136=3,GM136,0),2)</f>
        <v>0</v>
      </c>
      <c r="FS136">
        <v>0</v>
      </c>
      <c r="FX136">
        <v>97</v>
      </c>
      <c r="FY136">
        <v>51</v>
      </c>
      <c r="GA136" t="s">
        <v>6</v>
      </c>
      <c r="GD136">
        <v>1</v>
      </c>
      <c r="GF136">
        <v>386000195</v>
      </c>
      <c r="GG136">
        <v>2</v>
      </c>
      <c r="GH136">
        <v>1</v>
      </c>
      <c r="GI136">
        <v>-2</v>
      </c>
      <c r="GJ136">
        <v>0</v>
      </c>
      <c r="GK136">
        <v>0</v>
      </c>
      <c r="GL136">
        <f>ROUND(IF(AND(BH136=3,BI136=3,FS136&lt;&gt;0),P136,0),2)</f>
        <v>0</v>
      </c>
      <c r="GM136">
        <f>ROUND(O136+X136+Y136,2)+GX136</f>
        <v>9293.5</v>
      </c>
      <c r="GN136">
        <f>IF(OR(BI136=0,BI136=1),GM136,0)</f>
        <v>0</v>
      </c>
      <c r="GO136">
        <f>IF(BI136=2,GM136,0)</f>
        <v>9293.5</v>
      </c>
      <c r="GP136">
        <f>IF(BI136=4,GM136+GX136,0)</f>
        <v>0</v>
      </c>
      <c r="GR136">
        <v>0</v>
      </c>
      <c r="GS136">
        <v>3</v>
      </c>
      <c r="GT136">
        <v>0</v>
      </c>
      <c r="GU136" t="s">
        <v>6</v>
      </c>
      <c r="GV136">
        <f>ROUND((GT136),2)</f>
        <v>0</v>
      </c>
      <c r="GW136">
        <v>1</v>
      </c>
      <c r="GX136">
        <f>ROUND(HC136*I136,2)</f>
        <v>0</v>
      </c>
      <c r="HA136">
        <v>0</v>
      </c>
      <c r="HB136">
        <v>0</v>
      </c>
      <c r="HC136">
        <f>GV136*GW136</f>
        <v>0</v>
      </c>
      <c r="HE136" t="s">
        <v>6</v>
      </c>
      <c r="HF136" t="s">
        <v>6</v>
      </c>
      <c r="HM136" t="s">
        <v>6</v>
      </c>
      <c r="HN136" t="s">
        <v>25</v>
      </c>
      <c r="HO136" t="s">
        <v>26</v>
      </c>
      <c r="HP136" t="s">
        <v>23</v>
      </c>
      <c r="HQ136" t="s">
        <v>23</v>
      </c>
      <c r="IK136">
        <v>0</v>
      </c>
    </row>
    <row r="137" spans="1:245">
      <c r="A137">
        <v>18</v>
      </c>
      <c r="B137">
        <v>1</v>
      </c>
      <c r="C137">
        <v>28</v>
      </c>
      <c r="E137" t="s">
        <v>151</v>
      </c>
      <c r="F137" t="s">
        <v>28</v>
      </c>
      <c r="G137" t="s">
        <v>29</v>
      </c>
      <c r="H137" t="s">
        <v>30</v>
      </c>
      <c r="I137">
        <f>J137</f>
        <v>2</v>
      </c>
      <c r="J137">
        <v>2</v>
      </c>
      <c r="K137">
        <v>2</v>
      </c>
      <c r="O137">
        <f>ROUND(P137,2)</f>
        <v>74.95</v>
      </c>
      <c r="P137">
        <f>ROUND(ROUND(ROUND(SUMIF(SmtRes!AQ27:'SmtRes'!AQ28,"=1",SmtRes!CU27:'SmtRes'!CU28),2),2)*I137/100,2)</f>
        <v>74.95</v>
      </c>
      <c r="Q137">
        <f>ROUND(CR137*I137,2)</f>
        <v>0</v>
      </c>
      <c r="R137">
        <f>ROUND(CS137*I137,2)</f>
        <v>0</v>
      </c>
      <c r="S137">
        <f>ROUND(CT137*I137,2)</f>
        <v>0</v>
      </c>
      <c r="T137">
        <f>ROUND(CU137*I137,2)</f>
        <v>0</v>
      </c>
      <c r="U137">
        <f>CV137*I137</f>
        <v>0</v>
      </c>
      <c r="V137">
        <f>CW137*I137</f>
        <v>0</v>
      </c>
      <c r="W137">
        <f>ROUND(CX137*I137,2)</f>
        <v>0</v>
      </c>
      <c r="X137">
        <f t="shared" si="87"/>
        <v>0</v>
      </c>
      <c r="Y137">
        <f t="shared" si="87"/>
        <v>0</v>
      </c>
      <c r="AA137">
        <v>41853493</v>
      </c>
      <c r="AB137">
        <f>ROUND((AC137+AD137+AF137),2)</f>
        <v>0</v>
      </c>
      <c r="AC137">
        <f>ROUND((ES137),2)</f>
        <v>0</v>
      </c>
      <c r="AD137">
        <f>ROUND((((ET137)-(EU137))+AE137),2)</f>
        <v>0</v>
      </c>
      <c r="AE137">
        <f>ROUND((EU137),2)</f>
        <v>0</v>
      </c>
      <c r="AF137">
        <f>ROUND((EV137),2)</f>
        <v>0</v>
      </c>
      <c r="AG137">
        <f>ROUND((AP137),2)</f>
        <v>0</v>
      </c>
      <c r="AH137">
        <f>(EW137)</f>
        <v>0</v>
      </c>
      <c r="AI137">
        <f>(EX137)</f>
        <v>0</v>
      </c>
      <c r="AJ137">
        <f>(AS137)</f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6</v>
      </c>
      <c r="BE137" t="s">
        <v>6</v>
      </c>
      <c r="BF137" t="s">
        <v>6</v>
      </c>
      <c r="BG137" t="s">
        <v>6</v>
      </c>
      <c r="BH137">
        <v>3</v>
      </c>
      <c r="BI137">
        <v>4</v>
      </c>
      <c r="BJ137" t="s">
        <v>6</v>
      </c>
      <c r="BM137">
        <v>0</v>
      </c>
      <c r="BN137">
        <v>0</v>
      </c>
      <c r="BO137" t="s">
        <v>6</v>
      </c>
      <c r="BP137">
        <v>0</v>
      </c>
      <c r="BQ137">
        <v>16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6</v>
      </c>
      <c r="BZ137">
        <v>0</v>
      </c>
      <c r="CA137">
        <v>0</v>
      </c>
      <c r="CB137" t="s">
        <v>6</v>
      </c>
      <c r="CE137">
        <v>0</v>
      </c>
      <c r="CF137">
        <v>0</v>
      </c>
      <c r="CG137">
        <v>0</v>
      </c>
      <c r="CM137">
        <v>0</v>
      </c>
      <c r="CN137" t="s">
        <v>6</v>
      </c>
      <c r="CO137">
        <v>0</v>
      </c>
      <c r="CP137">
        <f>0</f>
        <v>0</v>
      </c>
      <c r="CQ137">
        <f>0</f>
        <v>0</v>
      </c>
      <c r="CR137">
        <f>0</f>
        <v>0</v>
      </c>
      <c r="CS137">
        <f>0</f>
        <v>0</v>
      </c>
      <c r="CT137">
        <f>0</f>
        <v>0</v>
      </c>
      <c r="CU137">
        <f>0</f>
        <v>0</v>
      </c>
      <c r="CV137">
        <f>0</f>
        <v>0</v>
      </c>
      <c r="CW137">
        <f>0</f>
        <v>0</v>
      </c>
      <c r="CX137">
        <f>0</f>
        <v>0</v>
      </c>
      <c r="CY137">
        <f>0</f>
        <v>0</v>
      </c>
      <c r="CZ137">
        <f>0</f>
        <v>0</v>
      </c>
      <c r="DC137" t="s">
        <v>6</v>
      </c>
      <c r="DD137" t="s">
        <v>6</v>
      </c>
      <c r="DE137" t="s">
        <v>6</v>
      </c>
      <c r="DF137" t="s">
        <v>6</v>
      </c>
      <c r="DG137" t="s">
        <v>6</v>
      </c>
      <c r="DH137" t="s">
        <v>6</v>
      </c>
      <c r="DI137" t="s">
        <v>6</v>
      </c>
      <c r="DJ137" t="s">
        <v>6</v>
      </c>
      <c r="DK137" t="s">
        <v>6</v>
      </c>
      <c r="DL137" t="s">
        <v>6</v>
      </c>
      <c r="DM137" t="s">
        <v>6</v>
      </c>
      <c r="DN137">
        <v>0</v>
      </c>
      <c r="DO137">
        <v>0</v>
      </c>
      <c r="DP137">
        <v>1</v>
      </c>
      <c r="DQ137">
        <v>1</v>
      </c>
      <c r="DU137">
        <v>1013</v>
      </c>
      <c r="DV137" t="s">
        <v>30</v>
      </c>
      <c r="DW137" t="s">
        <v>30</v>
      </c>
      <c r="DX137">
        <v>1</v>
      </c>
      <c r="DZ137" t="s">
        <v>6</v>
      </c>
      <c r="EA137" t="s">
        <v>6</v>
      </c>
      <c r="EB137" t="s">
        <v>6</v>
      </c>
      <c r="EC137" t="s">
        <v>6</v>
      </c>
      <c r="EE137">
        <v>40604523</v>
      </c>
      <c r="EF137">
        <v>16</v>
      </c>
      <c r="EG137" t="s">
        <v>31</v>
      </c>
      <c r="EH137">
        <v>0</v>
      </c>
      <c r="EI137" t="s">
        <v>6</v>
      </c>
      <c r="EJ137">
        <v>4</v>
      </c>
      <c r="EK137">
        <v>0</v>
      </c>
      <c r="EL137" t="s">
        <v>32</v>
      </c>
      <c r="EM137" t="s">
        <v>33</v>
      </c>
      <c r="EO137" t="s">
        <v>6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FQ137">
        <v>0</v>
      </c>
      <c r="FR137">
        <f>ROUND(IF(BI137=3,GM137,0),2)</f>
        <v>0</v>
      </c>
      <c r="FS137">
        <v>0</v>
      </c>
      <c r="FX137">
        <v>0</v>
      </c>
      <c r="FY137">
        <v>0</v>
      </c>
      <c r="GA137" t="s">
        <v>6</v>
      </c>
      <c r="GD137">
        <v>1</v>
      </c>
      <c r="GF137">
        <v>274903907</v>
      </c>
      <c r="GG137">
        <v>2</v>
      </c>
      <c r="GH137">
        <v>1</v>
      </c>
      <c r="GI137">
        <v>-2</v>
      </c>
      <c r="GJ137">
        <v>0</v>
      </c>
      <c r="GK137">
        <v>0</v>
      </c>
      <c r="GL137">
        <f>ROUND(IF(AND(BH137=3,BI137=3,FS137&lt;&gt;0),P137,0),2)</f>
        <v>0</v>
      </c>
      <c r="GM137">
        <f>ROUND(O137+X137+Y137,2)+GX137</f>
        <v>74.95</v>
      </c>
      <c r="GN137">
        <f>IF(OR(BI137=0,BI137=1),GM137,0)</f>
        <v>0</v>
      </c>
      <c r="GO137">
        <f>IF(BI137=2,GM137,0)</f>
        <v>0</v>
      </c>
      <c r="GP137">
        <f>IF(BI137=4,GM137+GX137,0)</f>
        <v>74.95</v>
      </c>
      <c r="GR137">
        <v>0</v>
      </c>
      <c r="GS137">
        <v>3</v>
      </c>
      <c r="GT137">
        <v>0</v>
      </c>
      <c r="GU137" t="s">
        <v>6</v>
      </c>
      <c r="GV137">
        <f>ROUND((GT137),2)</f>
        <v>0</v>
      </c>
      <c r="GW137">
        <v>1</v>
      </c>
      <c r="GX137">
        <f>ROUND(HC137*I137,2)</f>
        <v>0</v>
      </c>
      <c r="HA137">
        <v>0</v>
      </c>
      <c r="HB137">
        <v>0</v>
      </c>
      <c r="HC137">
        <f>0</f>
        <v>0</v>
      </c>
      <c r="HE137" t="s">
        <v>6</v>
      </c>
      <c r="HF137" t="s">
        <v>6</v>
      </c>
      <c r="HM137" t="s">
        <v>6</v>
      </c>
      <c r="HN137" t="s">
        <v>6</v>
      </c>
      <c r="HO137" t="s">
        <v>6</v>
      </c>
      <c r="HP137" t="s">
        <v>6</v>
      </c>
      <c r="HQ137" t="s">
        <v>6</v>
      </c>
      <c r="IK137">
        <v>0</v>
      </c>
    </row>
    <row r="139" spans="1:245">
      <c r="A139" s="2">
        <v>51</v>
      </c>
      <c r="B139" s="2">
        <f>B130</f>
        <v>1</v>
      </c>
      <c r="C139" s="2">
        <f>A130</f>
        <v>4</v>
      </c>
      <c r="D139" s="2">
        <f>ROW(A130)</f>
        <v>130</v>
      </c>
      <c r="E139" s="2"/>
      <c r="F139" s="2" t="str">
        <f>IF(F130&lt;&gt;"",F130,"")</f>
        <v>Новый раздел</v>
      </c>
      <c r="G139" s="2" t="str">
        <f>IF(G130&lt;&gt;"",G130,"")</f>
        <v>Монтаж узла учета 0,4кВ</v>
      </c>
      <c r="H139" s="2">
        <v>0</v>
      </c>
      <c r="I139" s="2"/>
      <c r="J139" s="2"/>
      <c r="K139" s="2"/>
      <c r="L139" s="2"/>
      <c r="M139" s="2"/>
      <c r="N139" s="2"/>
      <c r="O139" s="2">
        <f t="shared" ref="O139:T139" si="88">ROUND(AB139,2)</f>
        <v>7129.87</v>
      </c>
      <c r="P139" s="2">
        <f t="shared" si="88"/>
        <v>189.4</v>
      </c>
      <c r="Q139" s="2">
        <f t="shared" si="88"/>
        <v>260.10000000000002</v>
      </c>
      <c r="R139" s="2">
        <f t="shared" si="88"/>
        <v>92.33</v>
      </c>
      <c r="S139" s="2">
        <f t="shared" si="88"/>
        <v>6588.04</v>
      </c>
      <c r="T139" s="2">
        <f t="shared" si="88"/>
        <v>0</v>
      </c>
      <c r="U139" s="2">
        <f>AH139</f>
        <v>21.746400000000001</v>
      </c>
      <c r="V139" s="2">
        <f>AI139</f>
        <v>0.26</v>
      </c>
      <c r="W139" s="2">
        <f>ROUND(AJ139,2)</f>
        <v>0</v>
      </c>
      <c r="X139" s="2">
        <f>ROUND(AK139,2)</f>
        <v>6479.96</v>
      </c>
      <c r="Y139" s="2">
        <f>ROUND(AL139,2)</f>
        <v>3406.98</v>
      </c>
      <c r="Z139" s="2"/>
      <c r="AA139" s="2"/>
      <c r="AB139" s="2">
        <f>ROUND(SUMIF(AA134:AA137,"=41853493",O134:O137),2)</f>
        <v>7129.87</v>
      </c>
      <c r="AC139" s="2">
        <f>ROUND(SUMIF(AA134:AA137,"=41853493",P134:P137),2)</f>
        <v>189.4</v>
      </c>
      <c r="AD139" s="2">
        <f>ROUND(SUMIF(AA134:AA137,"=41853493",Q134:Q137),2)</f>
        <v>260.10000000000002</v>
      </c>
      <c r="AE139" s="2">
        <f>ROUND(SUMIF(AA134:AA137,"=41853493",R134:R137),2)</f>
        <v>92.33</v>
      </c>
      <c r="AF139" s="2">
        <f>ROUND(SUMIF(AA134:AA137,"=41853493",S134:S137),2)</f>
        <v>6588.04</v>
      </c>
      <c r="AG139" s="2">
        <f>ROUND(SUMIF(AA134:AA137,"=41853493",T134:T137),2)</f>
        <v>0</v>
      </c>
      <c r="AH139" s="2">
        <f>SUMIF(AA134:AA137,"=41853493",U134:U137)</f>
        <v>21.746400000000001</v>
      </c>
      <c r="AI139" s="2">
        <f>SUMIF(AA134:AA137,"=41853493",V134:V137)</f>
        <v>0.26</v>
      </c>
      <c r="AJ139" s="2">
        <f>ROUND(SUMIF(AA134:AA137,"=41853493",W134:W137),2)</f>
        <v>0</v>
      </c>
      <c r="AK139" s="2">
        <f>ROUND(SUMIF(AA134:AA137,"=41853493",X134:X137),2)</f>
        <v>6479.96</v>
      </c>
      <c r="AL139" s="2">
        <f>ROUND(SUMIF(AA134:AA137,"=41853493",Y134:Y137),2)</f>
        <v>3406.98</v>
      </c>
      <c r="AM139" s="2"/>
      <c r="AN139" s="2"/>
      <c r="AO139" s="2">
        <f t="shared" ref="AO139:BD139" si="89">ROUND(BX139,2)</f>
        <v>0</v>
      </c>
      <c r="AP139" s="2">
        <f t="shared" si="89"/>
        <v>0</v>
      </c>
      <c r="AQ139" s="2">
        <f t="shared" si="89"/>
        <v>0</v>
      </c>
      <c r="AR139" s="2">
        <f t="shared" si="89"/>
        <v>17016.810000000001</v>
      </c>
      <c r="AS139" s="2">
        <f t="shared" si="89"/>
        <v>0</v>
      </c>
      <c r="AT139" s="2">
        <f t="shared" si="89"/>
        <v>16885.05</v>
      </c>
      <c r="AU139" s="2">
        <f t="shared" si="89"/>
        <v>131.76</v>
      </c>
      <c r="AV139" s="2">
        <f t="shared" si="89"/>
        <v>189.4</v>
      </c>
      <c r="AW139" s="2">
        <f t="shared" si="89"/>
        <v>189.4</v>
      </c>
      <c r="AX139" s="2">
        <f t="shared" si="89"/>
        <v>0</v>
      </c>
      <c r="AY139" s="2">
        <f t="shared" si="89"/>
        <v>189.4</v>
      </c>
      <c r="AZ139" s="2">
        <f t="shared" si="89"/>
        <v>0</v>
      </c>
      <c r="BA139" s="2">
        <f t="shared" si="89"/>
        <v>0</v>
      </c>
      <c r="BB139" s="2">
        <f t="shared" si="89"/>
        <v>0</v>
      </c>
      <c r="BC139" s="2">
        <f t="shared" si="89"/>
        <v>0</v>
      </c>
      <c r="BD139" s="2">
        <f t="shared" si="89"/>
        <v>0</v>
      </c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>
        <f>ROUND(SUMIF(AA134:AA137,"=41853493",FQ134:FQ137),2)</f>
        <v>0</v>
      </c>
      <c r="BY139" s="2">
        <f>ROUND(SUMIF(AA134:AA137,"=41853493",FR134:FR137),2)</f>
        <v>0</v>
      </c>
      <c r="BZ139" s="2">
        <f>ROUND(SUMIF(AA134:AA137,"=41853493",GL134:GL137),2)</f>
        <v>0</v>
      </c>
      <c r="CA139" s="2">
        <f>ROUND(SUMIF(AA134:AA137,"=41853493",GM134:GM137),2)</f>
        <v>17016.810000000001</v>
      </c>
      <c r="CB139" s="2">
        <f>ROUND(SUMIF(AA134:AA137,"=41853493",GN134:GN137),2)</f>
        <v>0</v>
      </c>
      <c r="CC139" s="2">
        <f>ROUND(SUMIF(AA134:AA137,"=41853493",GO134:GO137),2)</f>
        <v>16885.05</v>
      </c>
      <c r="CD139" s="2">
        <f>ROUND(SUMIF(AA134:AA137,"=41853493",GP134:GP137),2)</f>
        <v>131.76</v>
      </c>
      <c r="CE139" s="2">
        <f>AC139-BX139</f>
        <v>189.4</v>
      </c>
      <c r="CF139" s="2">
        <f>AC139-BY139</f>
        <v>189.4</v>
      </c>
      <c r="CG139" s="2">
        <f>BX139-BZ139</f>
        <v>0</v>
      </c>
      <c r="CH139" s="2">
        <f>AC139-BX139-BY139+BZ139</f>
        <v>189.4</v>
      </c>
      <c r="CI139" s="2">
        <f>BY139-BZ139</f>
        <v>0</v>
      </c>
      <c r="CJ139" s="2">
        <f>ROUND(SUMIF(AA134:AA137,"=41853493",GX134:GX137),2)</f>
        <v>0</v>
      </c>
      <c r="CK139" s="2">
        <f>ROUND(SUMIF(AA134:AA137,"=41853493",GY134:GY137),2)</f>
        <v>0</v>
      </c>
      <c r="CL139" s="2">
        <f>ROUND(SUMIF(AA134:AA137,"=41853493",GZ134:GZ137),2)</f>
        <v>0</v>
      </c>
      <c r="CM139" s="2">
        <f>ROUND(SUMIF(AA134:AA137,"=41853493",HD134:HD137),2)</f>
        <v>0</v>
      </c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>
        <v>0</v>
      </c>
    </row>
    <row r="141" spans="1:245">
      <c r="A141" s="4">
        <v>50</v>
      </c>
      <c r="B141" s="4">
        <v>1</v>
      </c>
      <c r="C141" s="4">
        <v>0</v>
      </c>
      <c r="D141" s="4">
        <v>1</v>
      </c>
      <c r="E141" s="4">
        <v>201</v>
      </c>
      <c r="F141" s="4">
        <f>ROUND(Source!O139,O141)</f>
        <v>7129.87</v>
      </c>
      <c r="G141" s="4" t="s">
        <v>47</v>
      </c>
      <c r="H141" s="4" t="s">
        <v>48</v>
      </c>
      <c r="I141" s="4"/>
      <c r="J141" s="4"/>
      <c r="K141" s="4">
        <v>201</v>
      </c>
      <c r="L141" s="4">
        <v>1</v>
      </c>
      <c r="M141" s="4">
        <v>1</v>
      </c>
      <c r="N141" s="4" t="s">
        <v>6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7129.87</v>
      </c>
      <c r="X141" s="4">
        <v>1</v>
      </c>
      <c r="Y141" s="4">
        <v>7129.87</v>
      </c>
      <c r="Z141" s="4"/>
      <c r="AA141" s="4"/>
      <c r="AB141" s="4"/>
    </row>
    <row r="142" spans="1:245">
      <c r="A142" s="4">
        <v>50</v>
      </c>
      <c r="B142" s="4">
        <v>1</v>
      </c>
      <c r="C142" s="4">
        <v>0</v>
      </c>
      <c r="D142" s="4">
        <v>1</v>
      </c>
      <c r="E142" s="4">
        <v>202</v>
      </c>
      <c r="F142" s="4">
        <f>ROUND(Source!P139,O142)</f>
        <v>189.4</v>
      </c>
      <c r="G142" s="4" t="s">
        <v>49</v>
      </c>
      <c r="H142" s="4" t="s">
        <v>50</v>
      </c>
      <c r="I142" s="4"/>
      <c r="J142" s="4"/>
      <c r="K142" s="4">
        <v>202</v>
      </c>
      <c r="L142" s="4">
        <v>2</v>
      </c>
      <c r="M142" s="4">
        <v>1</v>
      </c>
      <c r="N142" s="4" t="s">
        <v>6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189.4</v>
      </c>
      <c r="X142" s="4">
        <v>1</v>
      </c>
      <c r="Y142" s="4">
        <v>189.4</v>
      </c>
      <c r="Z142" s="4"/>
      <c r="AA142" s="4"/>
      <c r="AB142" s="4"/>
    </row>
    <row r="143" spans="1:245">
      <c r="A143" s="4">
        <v>50</v>
      </c>
      <c r="B143" s="4">
        <v>0</v>
      </c>
      <c r="C143" s="4">
        <v>0</v>
      </c>
      <c r="D143" s="4">
        <v>1</v>
      </c>
      <c r="E143" s="4">
        <v>222</v>
      </c>
      <c r="F143" s="4">
        <f>ROUND(Source!AO139,O143)</f>
        <v>0</v>
      </c>
      <c r="G143" s="4" t="s">
        <v>51</v>
      </c>
      <c r="H143" s="4" t="s">
        <v>52</v>
      </c>
      <c r="I143" s="4"/>
      <c r="J143" s="4"/>
      <c r="K143" s="4">
        <v>222</v>
      </c>
      <c r="L143" s="4">
        <v>3</v>
      </c>
      <c r="M143" s="4">
        <v>3</v>
      </c>
      <c r="N143" s="4" t="s">
        <v>6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>
      <c r="A144" s="4">
        <v>50</v>
      </c>
      <c r="B144" s="4">
        <v>0</v>
      </c>
      <c r="C144" s="4">
        <v>0</v>
      </c>
      <c r="D144" s="4">
        <v>1</v>
      </c>
      <c r="E144" s="4">
        <v>225</v>
      </c>
      <c r="F144" s="4">
        <f>ROUND(Source!AV139,O144)</f>
        <v>189.4</v>
      </c>
      <c r="G144" s="4" t="s">
        <v>53</v>
      </c>
      <c r="H144" s="4" t="s">
        <v>54</v>
      </c>
      <c r="I144" s="4"/>
      <c r="J144" s="4"/>
      <c r="K144" s="4">
        <v>225</v>
      </c>
      <c r="L144" s="4">
        <v>4</v>
      </c>
      <c r="M144" s="4">
        <v>3</v>
      </c>
      <c r="N144" s="4" t="s">
        <v>6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189.4</v>
      </c>
      <c r="X144" s="4">
        <v>1</v>
      </c>
      <c r="Y144" s="4">
        <v>189.4</v>
      </c>
      <c r="Z144" s="4"/>
      <c r="AA144" s="4"/>
      <c r="AB144" s="4"/>
    </row>
    <row r="145" spans="1:28">
      <c r="A145" s="4">
        <v>50</v>
      </c>
      <c r="B145" s="4">
        <v>0</v>
      </c>
      <c r="C145" s="4">
        <v>0</v>
      </c>
      <c r="D145" s="4">
        <v>1</v>
      </c>
      <c r="E145" s="4">
        <v>226</v>
      </c>
      <c r="F145" s="4">
        <f>ROUND(Source!AW139,O145)</f>
        <v>189.4</v>
      </c>
      <c r="G145" s="4" t="s">
        <v>55</v>
      </c>
      <c r="H145" s="4" t="s">
        <v>56</v>
      </c>
      <c r="I145" s="4"/>
      <c r="J145" s="4"/>
      <c r="K145" s="4">
        <v>226</v>
      </c>
      <c r="L145" s="4">
        <v>5</v>
      </c>
      <c r="M145" s="4">
        <v>3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189.4</v>
      </c>
      <c r="X145" s="4">
        <v>1</v>
      </c>
      <c r="Y145" s="4">
        <v>189.4</v>
      </c>
      <c r="Z145" s="4"/>
      <c r="AA145" s="4"/>
      <c r="AB145" s="4"/>
    </row>
    <row r="146" spans="1:28">
      <c r="A146" s="4">
        <v>50</v>
      </c>
      <c r="B146" s="4">
        <v>0</v>
      </c>
      <c r="C146" s="4">
        <v>0</v>
      </c>
      <c r="D146" s="4">
        <v>1</v>
      </c>
      <c r="E146" s="4">
        <v>227</v>
      </c>
      <c r="F146" s="4">
        <f>ROUND(Source!AX139,O146)</f>
        <v>0</v>
      </c>
      <c r="G146" s="4" t="s">
        <v>57</v>
      </c>
      <c r="H146" s="4" t="s">
        <v>58</v>
      </c>
      <c r="I146" s="4"/>
      <c r="J146" s="4"/>
      <c r="K146" s="4">
        <v>227</v>
      </c>
      <c r="L146" s="4">
        <v>6</v>
      </c>
      <c r="M146" s="4">
        <v>3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>
      <c r="A147" s="4">
        <v>50</v>
      </c>
      <c r="B147" s="4">
        <v>0</v>
      </c>
      <c r="C147" s="4">
        <v>0</v>
      </c>
      <c r="D147" s="4">
        <v>1</v>
      </c>
      <c r="E147" s="4">
        <v>228</v>
      </c>
      <c r="F147" s="4">
        <f>ROUND(Source!AY139,O147)</f>
        <v>189.4</v>
      </c>
      <c r="G147" s="4" t="s">
        <v>59</v>
      </c>
      <c r="H147" s="4" t="s">
        <v>60</v>
      </c>
      <c r="I147" s="4"/>
      <c r="J147" s="4"/>
      <c r="K147" s="4">
        <v>228</v>
      </c>
      <c r="L147" s="4">
        <v>7</v>
      </c>
      <c r="M147" s="4">
        <v>3</v>
      </c>
      <c r="N147" s="4" t="s">
        <v>6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189.4</v>
      </c>
      <c r="X147" s="4">
        <v>1</v>
      </c>
      <c r="Y147" s="4">
        <v>189.4</v>
      </c>
      <c r="Z147" s="4"/>
      <c r="AA147" s="4"/>
      <c r="AB147" s="4"/>
    </row>
    <row r="148" spans="1:28">
      <c r="A148" s="4">
        <v>50</v>
      </c>
      <c r="B148" s="4">
        <v>0</v>
      </c>
      <c r="C148" s="4">
        <v>0</v>
      </c>
      <c r="D148" s="4">
        <v>1</v>
      </c>
      <c r="E148" s="4">
        <v>216</v>
      </c>
      <c r="F148" s="4">
        <f>ROUND(Source!AP139,O148)</f>
        <v>0</v>
      </c>
      <c r="G148" s="4" t="s">
        <v>61</v>
      </c>
      <c r="H148" s="4" t="s">
        <v>62</v>
      </c>
      <c r="I148" s="4"/>
      <c r="J148" s="4"/>
      <c r="K148" s="4">
        <v>216</v>
      </c>
      <c r="L148" s="4">
        <v>8</v>
      </c>
      <c r="M148" s="4">
        <v>3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>
      <c r="A149" s="4">
        <v>50</v>
      </c>
      <c r="B149" s="4">
        <v>0</v>
      </c>
      <c r="C149" s="4">
        <v>0</v>
      </c>
      <c r="D149" s="4">
        <v>1</v>
      </c>
      <c r="E149" s="4">
        <v>223</v>
      </c>
      <c r="F149" s="4">
        <f>ROUND(Source!AQ139,O149)</f>
        <v>0</v>
      </c>
      <c r="G149" s="4" t="s">
        <v>63</v>
      </c>
      <c r="H149" s="4" t="s">
        <v>64</v>
      </c>
      <c r="I149" s="4"/>
      <c r="J149" s="4"/>
      <c r="K149" s="4">
        <v>223</v>
      </c>
      <c r="L149" s="4">
        <v>9</v>
      </c>
      <c r="M149" s="4">
        <v>3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>
      <c r="A150" s="4">
        <v>50</v>
      </c>
      <c r="B150" s="4">
        <v>0</v>
      </c>
      <c r="C150" s="4">
        <v>0</v>
      </c>
      <c r="D150" s="4">
        <v>1</v>
      </c>
      <c r="E150" s="4">
        <v>229</v>
      </c>
      <c r="F150" s="4">
        <f>ROUND(Source!AZ139,O150)</f>
        <v>0</v>
      </c>
      <c r="G150" s="4" t="s">
        <v>65</v>
      </c>
      <c r="H150" s="4" t="s">
        <v>66</v>
      </c>
      <c r="I150" s="4"/>
      <c r="J150" s="4"/>
      <c r="K150" s="4">
        <v>229</v>
      </c>
      <c r="L150" s="4">
        <v>10</v>
      </c>
      <c r="M150" s="4">
        <v>3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>
      <c r="A151" s="4">
        <v>50</v>
      </c>
      <c r="B151" s="4">
        <v>1</v>
      </c>
      <c r="C151" s="4">
        <v>0</v>
      </c>
      <c r="D151" s="4">
        <v>1</v>
      </c>
      <c r="E151" s="4">
        <v>203</v>
      </c>
      <c r="F151" s="4">
        <f>ROUND(Source!Q139,O151)</f>
        <v>260.10000000000002</v>
      </c>
      <c r="G151" s="4" t="s">
        <v>67</v>
      </c>
      <c r="H151" s="4" t="s">
        <v>68</v>
      </c>
      <c r="I151" s="4"/>
      <c r="J151" s="4"/>
      <c r="K151" s="4">
        <v>203</v>
      </c>
      <c r="L151" s="4">
        <v>11</v>
      </c>
      <c r="M151" s="4">
        <v>1</v>
      </c>
      <c r="N151" s="4" t="s">
        <v>6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260.10000000000002</v>
      </c>
      <c r="X151" s="4">
        <v>1</v>
      </c>
      <c r="Y151" s="4">
        <v>260.10000000000002</v>
      </c>
      <c r="Z151" s="4"/>
      <c r="AA151" s="4"/>
      <c r="AB151" s="4"/>
    </row>
    <row r="152" spans="1:28">
      <c r="A152" s="4">
        <v>50</v>
      </c>
      <c r="B152" s="4">
        <v>0</v>
      </c>
      <c r="C152" s="4">
        <v>0</v>
      </c>
      <c r="D152" s="4">
        <v>1</v>
      </c>
      <c r="E152" s="4">
        <v>231</v>
      </c>
      <c r="F152" s="4">
        <f>ROUND(Source!BB139,O152)</f>
        <v>0</v>
      </c>
      <c r="G152" s="4" t="s">
        <v>69</v>
      </c>
      <c r="H152" s="4" t="s">
        <v>70</v>
      </c>
      <c r="I152" s="4"/>
      <c r="J152" s="4"/>
      <c r="K152" s="4">
        <v>231</v>
      </c>
      <c r="L152" s="4">
        <v>12</v>
      </c>
      <c r="M152" s="4">
        <v>3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>
      <c r="A153" s="4">
        <v>50</v>
      </c>
      <c r="B153" s="4">
        <v>1</v>
      </c>
      <c r="C153" s="4">
        <v>0</v>
      </c>
      <c r="D153" s="4">
        <v>1</v>
      </c>
      <c r="E153" s="4">
        <v>204</v>
      </c>
      <c r="F153" s="4">
        <f>ROUND(Source!R139,O153)</f>
        <v>92.33</v>
      </c>
      <c r="G153" s="4" t="s">
        <v>71</v>
      </c>
      <c r="H153" s="4" t="s">
        <v>72</v>
      </c>
      <c r="I153" s="4"/>
      <c r="J153" s="4"/>
      <c r="K153" s="4">
        <v>204</v>
      </c>
      <c r="L153" s="4">
        <v>13</v>
      </c>
      <c r="M153" s="4">
        <v>1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92.33</v>
      </c>
      <c r="X153" s="4">
        <v>1</v>
      </c>
      <c r="Y153" s="4">
        <v>92.33</v>
      </c>
      <c r="Z153" s="4"/>
      <c r="AA153" s="4"/>
      <c r="AB153" s="4"/>
    </row>
    <row r="154" spans="1:28">
      <c r="A154" s="4">
        <v>50</v>
      </c>
      <c r="B154" s="4">
        <v>1</v>
      </c>
      <c r="C154" s="4">
        <v>0</v>
      </c>
      <c r="D154" s="4">
        <v>1</v>
      </c>
      <c r="E154" s="4">
        <v>205</v>
      </c>
      <c r="F154" s="4">
        <f>ROUND(Source!S139,O154)</f>
        <v>6588.04</v>
      </c>
      <c r="G154" s="4" t="s">
        <v>73</v>
      </c>
      <c r="H154" s="4" t="s">
        <v>74</v>
      </c>
      <c r="I154" s="4"/>
      <c r="J154" s="4"/>
      <c r="K154" s="4">
        <v>205</v>
      </c>
      <c r="L154" s="4">
        <v>14</v>
      </c>
      <c r="M154" s="4">
        <v>1</v>
      </c>
      <c r="N154" s="4" t="s">
        <v>6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6588.04</v>
      </c>
      <c r="X154" s="4">
        <v>1</v>
      </c>
      <c r="Y154" s="4">
        <v>6588.04</v>
      </c>
      <c r="Z154" s="4"/>
      <c r="AA154" s="4"/>
      <c r="AB154" s="4"/>
    </row>
    <row r="155" spans="1:28">
      <c r="A155" s="4">
        <v>50</v>
      </c>
      <c r="B155" s="4">
        <v>0</v>
      </c>
      <c r="C155" s="4">
        <v>0</v>
      </c>
      <c r="D155" s="4">
        <v>1</v>
      </c>
      <c r="E155" s="4">
        <v>232</v>
      </c>
      <c r="F155" s="4">
        <f>ROUND(Source!BC139,O155)</f>
        <v>0</v>
      </c>
      <c r="G155" s="4" t="s">
        <v>75</v>
      </c>
      <c r="H155" s="4" t="s">
        <v>76</v>
      </c>
      <c r="I155" s="4"/>
      <c r="J155" s="4"/>
      <c r="K155" s="4">
        <v>232</v>
      </c>
      <c r="L155" s="4">
        <v>15</v>
      </c>
      <c r="M155" s="4">
        <v>3</v>
      </c>
      <c r="N155" s="4" t="s">
        <v>6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>
      <c r="A156" s="4">
        <v>50</v>
      </c>
      <c r="B156" s="4">
        <v>0</v>
      </c>
      <c r="C156" s="4">
        <v>0</v>
      </c>
      <c r="D156" s="4">
        <v>1</v>
      </c>
      <c r="E156" s="4">
        <v>214</v>
      </c>
      <c r="F156" s="4">
        <f>ROUND(Source!AS139,O156)</f>
        <v>0</v>
      </c>
      <c r="G156" s="4" t="s">
        <v>77</v>
      </c>
      <c r="H156" s="4" t="s">
        <v>78</v>
      </c>
      <c r="I156" s="4"/>
      <c r="J156" s="4"/>
      <c r="K156" s="4">
        <v>214</v>
      </c>
      <c r="L156" s="4">
        <v>16</v>
      </c>
      <c r="M156" s="4">
        <v>3</v>
      </c>
      <c r="N156" s="4" t="s">
        <v>6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>
      <c r="A157" s="4">
        <v>50</v>
      </c>
      <c r="B157" s="4">
        <v>0</v>
      </c>
      <c r="C157" s="4">
        <v>0</v>
      </c>
      <c r="D157" s="4">
        <v>1</v>
      </c>
      <c r="E157" s="4">
        <v>215</v>
      </c>
      <c r="F157" s="4">
        <f>ROUND(Source!AT139,O157)</f>
        <v>16885.05</v>
      </c>
      <c r="G157" s="4" t="s">
        <v>79</v>
      </c>
      <c r="H157" s="4" t="s">
        <v>80</v>
      </c>
      <c r="I157" s="4"/>
      <c r="J157" s="4"/>
      <c r="K157" s="4">
        <v>215</v>
      </c>
      <c r="L157" s="4">
        <v>17</v>
      </c>
      <c r="M157" s="4">
        <v>3</v>
      </c>
      <c r="N157" s="4" t="s">
        <v>6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16885.05</v>
      </c>
      <c r="X157" s="4">
        <v>1</v>
      </c>
      <c r="Y157" s="4">
        <v>16885.05</v>
      </c>
      <c r="Z157" s="4"/>
      <c r="AA157" s="4"/>
      <c r="AB157" s="4"/>
    </row>
    <row r="158" spans="1:28">
      <c r="A158" s="4">
        <v>50</v>
      </c>
      <c r="B158" s="4">
        <v>0</v>
      </c>
      <c r="C158" s="4">
        <v>0</v>
      </c>
      <c r="D158" s="4">
        <v>1</v>
      </c>
      <c r="E158" s="4">
        <v>217</v>
      </c>
      <c r="F158" s="4">
        <f>ROUND(Source!AU139,O158)</f>
        <v>131.76</v>
      </c>
      <c r="G158" s="4" t="s">
        <v>81</v>
      </c>
      <c r="H158" s="4" t="s">
        <v>82</v>
      </c>
      <c r="I158" s="4"/>
      <c r="J158" s="4"/>
      <c r="K158" s="4">
        <v>217</v>
      </c>
      <c r="L158" s="4">
        <v>18</v>
      </c>
      <c r="M158" s="4">
        <v>3</v>
      </c>
      <c r="N158" s="4" t="s">
        <v>6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131.76</v>
      </c>
      <c r="X158" s="4">
        <v>1</v>
      </c>
      <c r="Y158" s="4">
        <v>131.76</v>
      </c>
      <c r="Z158" s="4"/>
      <c r="AA158" s="4"/>
      <c r="AB158" s="4"/>
    </row>
    <row r="159" spans="1:28">
      <c r="A159" s="4">
        <v>50</v>
      </c>
      <c r="B159" s="4">
        <v>0</v>
      </c>
      <c r="C159" s="4">
        <v>0</v>
      </c>
      <c r="D159" s="4">
        <v>1</v>
      </c>
      <c r="E159" s="4">
        <v>230</v>
      </c>
      <c r="F159" s="4">
        <f>ROUND(Source!BA139,O159)</f>
        <v>0</v>
      </c>
      <c r="G159" s="4" t="s">
        <v>83</v>
      </c>
      <c r="H159" s="4" t="s">
        <v>84</v>
      </c>
      <c r="I159" s="4"/>
      <c r="J159" s="4"/>
      <c r="K159" s="4">
        <v>230</v>
      </c>
      <c r="L159" s="4">
        <v>19</v>
      </c>
      <c r="M159" s="4">
        <v>3</v>
      </c>
      <c r="N159" s="4" t="s">
        <v>6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>
      <c r="A160" s="4">
        <v>50</v>
      </c>
      <c r="B160" s="4">
        <v>0</v>
      </c>
      <c r="C160" s="4">
        <v>0</v>
      </c>
      <c r="D160" s="4">
        <v>1</v>
      </c>
      <c r="E160" s="4">
        <v>206</v>
      </c>
      <c r="F160" s="4">
        <f>ROUND(Source!T139,O160)</f>
        <v>0</v>
      </c>
      <c r="G160" s="4" t="s">
        <v>85</v>
      </c>
      <c r="H160" s="4" t="s">
        <v>86</v>
      </c>
      <c r="I160" s="4"/>
      <c r="J160" s="4"/>
      <c r="K160" s="4">
        <v>206</v>
      </c>
      <c r="L160" s="4">
        <v>20</v>
      </c>
      <c r="M160" s="4">
        <v>3</v>
      </c>
      <c r="N160" s="4" t="s">
        <v>6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>
      <c r="A161" s="4">
        <v>50</v>
      </c>
      <c r="B161" s="4">
        <v>0</v>
      </c>
      <c r="C161" s="4">
        <v>0</v>
      </c>
      <c r="D161" s="4">
        <v>1</v>
      </c>
      <c r="E161" s="4">
        <v>207</v>
      </c>
      <c r="F161" s="4">
        <f>Source!U139</f>
        <v>21.746400000000001</v>
      </c>
      <c r="G161" s="4" t="s">
        <v>87</v>
      </c>
      <c r="H161" s="4" t="s">
        <v>88</v>
      </c>
      <c r="I161" s="4"/>
      <c r="J161" s="4"/>
      <c r="K161" s="4">
        <v>207</v>
      </c>
      <c r="L161" s="4">
        <v>21</v>
      </c>
      <c r="M161" s="4">
        <v>3</v>
      </c>
      <c r="N161" s="4" t="s">
        <v>6</v>
      </c>
      <c r="O161" s="4">
        <v>-1</v>
      </c>
      <c r="P161" s="4"/>
      <c r="Q161" s="4"/>
      <c r="R161" s="4"/>
      <c r="S161" s="4"/>
      <c r="T161" s="4"/>
      <c r="U161" s="4"/>
      <c r="V161" s="4"/>
      <c r="W161" s="4">
        <v>21.746400000000001</v>
      </c>
      <c r="X161" s="4">
        <v>1</v>
      </c>
      <c r="Y161" s="4">
        <v>21.746400000000001</v>
      </c>
      <c r="Z161" s="4"/>
      <c r="AA161" s="4"/>
      <c r="AB161" s="4"/>
    </row>
    <row r="162" spans="1:28">
      <c r="A162" s="4">
        <v>50</v>
      </c>
      <c r="B162" s="4">
        <v>0</v>
      </c>
      <c r="C162" s="4">
        <v>0</v>
      </c>
      <c r="D162" s="4">
        <v>1</v>
      </c>
      <c r="E162" s="4">
        <v>208</v>
      </c>
      <c r="F162" s="4">
        <f>Source!V139</f>
        <v>0.26</v>
      </c>
      <c r="G162" s="4" t="s">
        <v>89</v>
      </c>
      <c r="H162" s="4" t="s">
        <v>90</v>
      </c>
      <c r="I162" s="4"/>
      <c r="J162" s="4"/>
      <c r="K162" s="4">
        <v>208</v>
      </c>
      <c r="L162" s="4">
        <v>22</v>
      </c>
      <c r="M162" s="4">
        <v>3</v>
      </c>
      <c r="N162" s="4" t="s">
        <v>6</v>
      </c>
      <c r="O162" s="4">
        <v>-1</v>
      </c>
      <c r="P162" s="4"/>
      <c r="Q162" s="4"/>
      <c r="R162" s="4"/>
      <c r="S162" s="4"/>
      <c r="T162" s="4"/>
      <c r="U162" s="4"/>
      <c r="V162" s="4"/>
      <c r="W162" s="4">
        <v>0.26</v>
      </c>
      <c r="X162" s="4">
        <v>1</v>
      </c>
      <c r="Y162" s="4">
        <v>0.26</v>
      </c>
      <c r="Z162" s="4"/>
      <c r="AA162" s="4"/>
      <c r="AB162" s="4"/>
    </row>
    <row r="163" spans="1:28">
      <c r="A163" s="4">
        <v>50</v>
      </c>
      <c r="B163" s="4">
        <v>0</v>
      </c>
      <c r="C163" s="4">
        <v>0</v>
      </c>
      <c r="D163" s="4">
        <v>1</v>
      </c>
      <c r="E163" s="4">
        <v>209</v>
      </c>
      <c r="F163" s="4">
        <f>ROUND(Source!W139,O163)</f>
        <v>0</v>
      </c>
      <c r="G163" s="4" t="s">
        <v>91</v>
      </c>
      <c r="H163" s="4" t="s">
        <v>92</v>
      </c>
      <c r="I163" s="4"/>
      <c r="J163" s="4"/>
      <c r="K163" s="4">
        <v>209</v>
      </c>
      <c r="L163" s="4">
        <v>23</v>
      </c>
      <c r="M163" s="4">
        <v>3</v>
      </c>
      <c r="N163" s="4" t="s">
        <v>6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>
      <c r="A164" s="4">
        <v>50</v>
      </c>
      <c r="B164" s="4">
        <v>0</v>
      </c>
      <c r="C164" s="4">
        <v>0</v>
      </c>
      <c r="D164" s="4">
        <v>1</v>
      </c>
      <c r="E164" s="4">
        <v>233</v>
      </c>
      <c r="F164" s="4">
        <f>ROUND(Source!BD139,O164)</f>
        <v>0</v>
      </c>
      <c r="G164" s="4" t="s">
        <v>93</v>
      </c>
      <c r="H164" s="4" t="s">
        <v>94</v>
      </c>
      <c r="I164" s="4"/>
      <c r="J164" s="4"/>
      <c r="K164" s="4">
        <v>233</v>
      </c>
      <c r="L164" s="4">
        <v>24</v>
      </c>
      <c r="M164" s="4">
        <v>3</v>
      </c>
      <c r="N164" s="4" t="s">
        <v>6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>
      <c r="A165" s="4">
        <v>50</v>
      </c>
      <c r="B165" s="4">
        <v>1</v>
      </c>
      <c r="C165" s="4">
        <v>0</v>
      </c>
      <c r="D165" s="4">
        <v>1</v>
      </c>
      <c r="E165" s="4">
        <v>210</v>
      </c>
      <c r="F165" s="4">
        <f>ROUND(Source!X139,O165)</f>
        <v>6479.96</v>
      </c>
      <c r="G165" s="4" t="s">
        <v>95</v>
      </c>
      <c r="H165" s="4" t="s">
        <v>96</v>
      </c>
      <c r="I165" s="4"/>
      <c r="J165" s="4"/>
      <c r="K165" s="4">
        <v>210</v>
      </c>
      <c r="L165" s="4">
        <v>25</v>
      </c>
      <c r="M165" s="4">
        <v>1</v>
      </c>
      <c r="N165" s="4" t="s">
        <v>6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6479.96</v>
      </c>
      <c r="X165" s="4">
        <v>1</v>
      </c>
      <c r="Y165" s="4">
        <v>6479.96</v>
      </c>
      <c r="Z165" s="4"/>
      <c r="AA165" s="4"/>
      <c r="AB165" s="4"/>
    </row>
    <row r="166" spans="1:28">
      <c r="A166" s="4">
        <v>50</v>
      </c>
      <c r="B166" s="4">
        <v>1</v>
      </c>
      <c r="C166" s="4">
        <v>0</v>
      </c>
      <c r="D166" s="4">
        <v>1</v>
      </c>
      <c r="E166" s="4">
        <v>211</v>
      </c>
      <c r="F166" s="4">
        <f>ROUND(Source!Y139,O166)</f>
        <v>3406.98</v>
      </c>
      <c r="G166" s="4" t="s">
        <v>97</v>
      </c>
      <c r="H166" s="4" t="s">
        <v>98</v>
      </c>
      <c r="I166" s="4"/>
      <c r="J166" s="4"/>
      <c r="K166" s="4">
        <v>211</v>
      </c>
      <c r="L166" s="4">
        <v>26</v>
      </c>
      <c r="M166" s="4">
        <v>1</v>
      </c>
      <c r="N166" s="4" t="s">
        <v>6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3406.98</v>
      </c>
      <c r="X166" s="4">
        <v>1</v>
      </c>
      <c r="Y166" s="4">
        <v>3406.98</v>
      </c>
      <c r="Z166" s="4"/>
      <c r="AA166" s="4"/>
      <c r="AB166" s="4"/>
    </row>
    <row r="167" spans="1:28">
      <c r="A167" s="4">
        <v>50</v>
      </c>
      <c r="B167" s="4">
        <v>1</v>
      </c>
      <c r="C167" s="4">
        <v>0</v>
      </c>
      <c r="D167" s="4">
        <v>1</v>
      </c>
      <c r="E167" s="4">
        <v>224</v>
      </c>
      <c r="F167" s="4">
        <f>ROUND(Source!AR139,O167)</f>
        <v>17016.810000000001</v>
      </c>
      <c r="G167" s="4" t="s">
        <v>99</v>
      </c>
      <c r="H167" s="4" t="s">
        <v>100</v>
      </c>
      <c r="I167" s="4"/>
      <c r="J167" s="4"/>
      <c r="K167" s="4">
        <v>224</v>
      </c>
      <c r="L167" s="4">
        <v>27</v>
      </c>
      <c r="M167" s="4">
        <v>1</v>
      </c>
      <c r="N167" s="4" t="s">
        <v>6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17016.810000000001</v>
      </c>
      <c r="X167" s="4">
        <v>1</v>
      </c>
      <c r="Y167" s="4">
        <v>17016.810000000001</v>
      </c>
      <c r="Z167" s="4"/>
      <c r="AA167" s="4"/>
      <c r="AB167" s="4"/>
    </row>
    <row r="168" spans="1:28">
      <c r="A168" s="4">
        <v>50</v>
      </c>
      <c r="B168" s="4">
        <v>0</v>
      </c>
      <c r="C168" s="4">
        <v>0</v>
      </c>
      <c r="D168" s="4">
        <v>2</v>
      </c>
      <c r="E168" s="4">
        <v>0</v>
      </c>
      <c r="F168" s="4">
        <f>0</f>
        <v>0</v>
      </c>
      <c r="G168" s="4" t="s">
        <v>101</v>
      </c>
      <c r="H168" s="4" t="s">
        <v>102</v>
      </c>
      <c r="I168" s="4"/>
      <c r="J168" s="4"/>
      <c r="K168" s="4">
        <v>212</v>
      </c>
      <c r="L168" s="4">
        <v>28</v>
      </c>
      <c r="M168" s="4">
        <v>1</v>
      </c>
      <c r="N168" s="4" t="s">
        <v>6</v>
      </c>
      <c r="O168" s="4">
        <v>-1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>
      <c r="A169" s="4">
        <v>50</v>
      </c>
      <c r="B169" s="4">
        <v>0</v>
      </c>
      <c r="C169" s="4">
        <v>0</v>
      </c>
      <c r="D169" s="4">
        <v>2</v>
      </c>
      <c r="E169" s="4">
        <v>0</v>
      </c>
      <c r="F169" s="4">
        <f>ROUND(IF(F168=0,0,F167/100*F168),O169)</f>
        <v>0</v>
      </c>
      <c r="G169" s="4" t="s">
        <v>103</v>
      </c>
      <c r="H169" s="4" t="s">
        <v>104</v>
      </c>
      <c r="I169" s="4"/>
      <c r="J169" s="4"/>
      <c r="K169" s="4">
        <v>212</v>
      </c>
      <c r="L169" s="4">
        <v>29</v>
      </c>
      <c r="M169" s="4">
        <v>1</v>
      </c>
      <c r="N169" s="4" t="s">
        <v>6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>
      <c r="A170" s="4">
        <v>50</v>
      </c>
      <c r="B170" s="4">
        <v>0</v>
      </c>
      <c r="C170" s="4">
        <v>0</v>
      </c>
      <c r="D170" s="4">
        <v>2</v>
      </c>
      <c r="E170" s="4">
        <v>0</v>
      </c>
      <c r="F170" s="4">
        <f>ROUND(IF(F168=0,0,F167+F169),O170)</f>
        <v>0</v>
      </c>
      <c r="G170" s="4" t="s">
        <v>105</v>
      </c>
      <c r="H170" s="4" t="s">
        <v>106</v>
      </c>
      <c r="I170" s="4"/>
      <c r="J170" s="4"/>
      <c r="K170" s="4">
        <v>212</v>
      </c>
      <c r="L170" s="4">
        <v>30</v>
      </c>
      <c r="M170" s="4">
        <v>1</v>
      </c>
      <c r="N170" s="4" t="s">
        <v>6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>
      <c r="A171" s="4">
        <v>50</v>
      </c>
      <c r="B171" s="4">
        <v>0</v>
      </c>
      <c r="C171" s="4">
        <v>0</v>
      </c>
      <c r="D171" s="4">
        <v>2</v>
      </c>
      <c r="E171" s="4">
        <v>0</v>
      </c>
      <c r="F171" s="4">
        <f>0</f>
        <v>0</v>
      </c>
      <c r="G171" s="4" t="s">
        <v>107</v>
      </c>
      <c r="H171" s="4" t="s">
        <v>108</v>
      </c>
      <c r="I171" s="4"/>
      <c r="J171" s="4"/>
      <c r="K171" s="4">
        <v>212</v>
      </c>
      <c r="L171" s="4">
        <v>31</v>
      </c>
      <c r="M171" s="4">
        <v>1</v>
      </c>
      <c r="N171" s="4" t="s">
        <v>6</v>
      </c>
      <c r="O171" s="4">
        <v>-1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>
      <c r="A172" s="4">
        <v>50</v>
      </c>
      <c r="B172" s="4">
        <v>0</v>
      </c>
      <c r="C172" s="4">
        <v>0</v>
      </c>
      <c r="D172" s="4">
        <v>2</v>
      </c>
      <c r="E172" s="4">
        <v>0</v>
      </c>
      <c r="F172" s="4">
        <f>ROUND(IF(F171=0,0,(F167+F169)/100*F171),O172)</f>
        <v>0</v>
      </c>
      <c r="G172" s="4" t="s">
        <v>109</v>
      </c>
      <c r="H172" s="4" t="s">
        <v>110</v>
      </c>
      <c r="I172" s="4"/>
      <c r="J172" s="4"/>
      <c r="K172" s="4">
        <v>212</v>
      </c>
      <c r="L172" s="4">
        <v>32</v>
      </c>
      <c r="M172" s="4">
        <v>1</v>
      </c>
      <c r="N172" s="4" t="s">
        <v>6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>
      <c r="A173" s="4">
        <v>50</v>
      </c>
      <c r="B173" s="4">
        <v>0</v>
      </c>
      <c r="C173" s="4">
        <v>0</v>
      </c>
      <c r="D173" s="4">
        <v>2</v>
      </c>
      <c r="E173" s="4">
        <v>0</v>
      </c>
      <c r="F173" s="4">
        <f>ROUND(IF(F172=0,0,F167+F169+F172),O173)</f>
        <v>0</v>
      </c>
      <c r="G173" s="4" t="s">
        <v>111</v>
      </c>
      <c r="H173" s="4" t="s">
        <v>112</v>
      </c>
      <c r="I173" s="4"/>
      <c r="J173" s="4"/>
      <c r="K173" s="4">
        <v>212</v>
      </c>
      <c r="L173" s="4">
        <v>33</v>
      </c>
      <c r="M173" s="4">
        <v>1</v>
      </c>
      <c r="N173" s="4" t="s">
        <v>6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>
      <c r="A174" s="4">
        <v>50</v>
      </c>
      <c r="B174" s="4">
        <v>0</v>
      </c>
      <c r="C174" s="4">
        <v>0</v>
      </c>
      <c r="D174" s="4">
        <v>2</v>
      </c>
      <c r="E174" s="4">
        <v>0</v>
      </c>
      <c r="F174" s="4">
        <f>0</f>
        <v>0</v>
      </c>
      <c r="G174" s="4" t="s">
        <v>113</v>
      </c>
      <c r="H174" s="4" t="s">
        <v>114</v>
      </c>
      <c r="I174" s="4"/>
      <c r="J174" s="4"/>
      <c r="K174" s="4">
        <v>212</v>
      </c>
      <c r="L174" s="4">
        <v>34</v>
      </c>
      <c r="M174" s="4">
        <v>1</v>
      </c>
      <c r="N174" s="4" t="s">
        <v>6</v>
      </c>
      <c r="O174" s="4">
        <v>-1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>
      <c r="A175" s="4">
        <v>50</v>
      </c>
      <c r="B175" s="4">
        <v>0</v>
      </c>
      <c r="C175" s="4">
        <v>0</v>
      </c>
      <c r="D175" s="4">
        <v>2</v>
      </c>
      <c r="E175" s="4">
        <v>0</v>
      </c>
      <c r="F175" s="4">
        <f>ROUND(IF(F174=0,0,(F167+F169+F172)/100*F174),O175)</f>
        <v>0</v>
      </c>
      <c r="G175" s="4" t="s">
        <v>115</v>
      </c>
      <c r="H175" s="4" t="s">
        <v>116</v>
      </c>
      <c r="I175" s="4"/>
      <c r="J175" s="4"/>
      <c r="K175" s="4">
        <v>212</v>
      </c>
      <c r="L175" s="4">
        <v>35</v>
      </c>
      <c r="M175" s="4">
        <v>1</v>
      </c>
      <c r="N175" s="4" t="s">
        <v>6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>
      <c r="A176" s="4">
        <v>50</v>
      </c>
      <c r="B176" s="4">
        <v>0</v>
      </c>
      <c r="C176" s="4">
        <v>0</v>
      </c>
      <c r="D176" s="4">
        <v>2</v>
      </c>
      <c r="E176" s="4">
        <v>0</v>
      </c>
      <c r="F176" s="4">
        <f>ROUND(IF(F175=0,0,F167+F169+F172+F175),O176)</f>
        <v>0</v>
      </c>
      <c r="G176" s="4" t="s">
        <v>117</v>
      </c>
      <c r="H176" s="4" t="s">
        <v>118</v>
      </c>
      <c r="I176" s="4"/>
      <c r="J176" s="4"/>
      <c r="K176" s="4">
        <v>212</v>
      </c>
      <c r="L176" s="4">
        <v>36</v>
      </c>
      <c r="M176" s="4">
        <v>1</v>
      </c>
      <c r="N176" s="4" t="s">
        <v>6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>
      <c r="A177" s="4">
        <v>50</v>
      </c>
      <c r="B177" s="4">
        <v>0</v>
      </c>
      <c r="C177" s="4">
        <v>0</v>
      </c>
      <c r="D177" s="4">
        <v>2</v>
      </c>
      <c r="E177" s="4">
        <v>0</v>
      </c>
      <c r="F177" s="4">
        <f>ROUND(ROUND(F167+F169+F172+F175,2),O177)</f>
        <v>17016.810000000001</v>
      </c>
      <c r="G177" s="4" t="s">
        <v>119</v>
      </c>
      <c r="H177" s="4" t="s">
        <v>120</v>
      </c>
      <c r="I177" s="4"/>
      <c r="J177" s="4"/>
      <c r="K177" s="4">
        <v>212</v>
      </c>
      <c r="L177" s="4">
        <v>37</v>
      </c>
      <c r="M177" s="4">
        <v>3</v>
      </c>
      <c r="N177" s="4" t="s">
        <v>6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17016.810000000001</v>
      </c>
      <c r="X177" s="4">
        <v>1</v>
      </c>
      <c r="Y177" s="4">
        <v>17016.810000000001</v>
      </c>
      <c r="Z177" s="4"/>
      <c r="AA177" s="4"/>
      <c r="AB177" s="4"/>
    </row>
    <row r="178" spans="1:245">
      <c r="A178" s="4">
        <v>50</v>
      </c>
      <c r="B178" s="4">
        <v>1</v>
      </c>
      <c r="C178" s="4">
        <v>0</v>
      </c>
      <c r="D178" s="4">
        <v>2</v>
      </c>
      <c r="E178" s="4">
        <v>0</v>
      </c>
      <c r="F178" s="4">
        <f>ROUND(ROUND(F177*0.2,2),O178)</f>
        <v>3403.36</v>
      </c>
      <c r="G178" s="4" t="s">
        <v>121</v>
      </c>
      <c r="H178" s="4" t="s">
        <v>122</v>
      </c>
      <c r="I178" s="4"/>
      <c r="J178" s="4"/>
      <c r="K178" s="4">
        <v>212</v>
      </c>
      <c r="L178" s="4">
        <v>38</v>
      </c>
      <c r="M178" s="4">
        <v>1</v>
      </c>
      <c r="N178" s="4" t="s">
        <v>6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3403.36</v>
      </c>
      <c r="X178" s="4">
        <v>1</v>
      </c>
      <c r="Y178" s="4">
        <v>3403.36</v>
      </c>
      <c r="Z178" s="4"/>
      <c r="AA178" s="4"/>
      <c r="AB178" s="4"/>
    </row>
    <row r="179" spans="1:245">
      <c r="A179" s="4">
        <v>50</v>
      </c>
      <c r="B179" s="4">
        <v>1</v>
      </c>
      <c r="C179" s="4">
        <v>0</v>
      </c>
      <c r="D179" s="4">
        <v>2</v>
      </c>
      <c r="E179" s="4">
        <v>213</v>
      </c>
      <c r="F179" s="4">
        <f>ROUND(ROUND(F177+F178,2),O179)</f>
        <v>20420.169999999998</v>
      </c>
      <c r="G179" s="4" t="s">
        <v>123</v>
      </c>
      <c r="H179" s="4" t="s">
        <v>124</v>
      </c>
      <c r="I179" s="4"/>
      <c r="J179" s="4"/>
      <c r="K179" s="4">
        <v>212</v>
      </c>
      <c r="L179" s="4">
        <v>39</v>
      </c>
      <c r="M179" s="4">
        <v>1</v>
      </c>
      <c r="N179" s="4" t="s">
        <v>6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20420.169999999998</v>
      </c>
      <c r="X179" s="4">
        <v>1</v>
      </c>
      <c r="Y179" s="4">
        <v>20420.169999999998</v>
      </c>
      <c r="Z179" s="4"/>
      <c r="AA179" s="4"/>
      <c r="AB179" s="4"/>
    </row>
    <row r="181" spans="1:245">
      <c r="A181" s="1">
        <v>4</v>
      </c>
      <c r="B181" s="1">
        <v>1</v>
      </c>
      <c r="C181" s="1"/>
      <c r="D181" s="1">
        <f>ROW(A191)</f>
        <v>191</v>
      </c>
      <c r="E181" s="1"/>
      <c r="F181" s="1" t="s">
        <v>15</v>
      </c>
      <c r="G181" s="1" t="s">
        <v>125</v>
      </c>
      <c r="H181" s="1" t="s">
        <v>6</v>
      </c>
      <c r="I181" s="1">
        <v>0</v>
      </c>
      <c r="J181" s="1"/>
      <c r="K181" s="1">
        <v>0</v>
      </c>
      <c r="L181" s="1"/>
      <c r="M181" s="1" t="s">
        <v>6</v>
      </c>
      <c r="N181" s="1"/>
      <c r="O181" s="1"/>
      <c r="P181" s="1"/>
      <c r="Q181" s="1"/>
      <c r="R181" s="1"/>
      <c r="S181" s="1">
        <v>0</v>
      </c>
      <c r="T181" s="1"/>
      <c r="U181" s="1" t="s">
        <v>6</v>
      </c>
      <c r="V181" s="1">
        <v>0</v>
      </c>
      <c r="W181" s="1"/>
      <c r="X181" s="1"/>
      <c r="Y181" s="1"/>
      <c r="Z181" s="1"/>
      <c r="AA181" s="1"/>
      <c r="AB181" s="1" t="s">
        <v>6</v>
      </c>
      <c r="AC181" s="1" t="s">
        <v>6</v>
      </c>
      <c r="AD181" s="1" t="s">
        <v>6</v>
      </c>
      <c r="AE181" s="1" t="s">
        <v>6</v>
      </c>
      <c r="AF181" s="1" t="s">
        <v>6</v>
      </c>
      <c r="AG181" s="1" t="s">
        <v>6</v>
      </c>
      <c r="AH181" s="1"/>
      <c r="AI181" s="1"/>
      <c r="AJ181" s="1"/>
      <c r="AK181" s="1"/>
      <c r="AL181" s="1"/>
      <c r="AM181" s="1"/>
      <c r="AN181" s="1"/>
      <c r="AO181" s="1"/>
      <c r="AP181" s="1" t="s">
        <v>6</v>
      </c>
      <c r="AQ181" s="1" t="s">
        <v>6</v>
      </c>
      <c r="AR181" s="1" t="s">
        <v>6</v>
      </c>
      <c r="AS181" s="1"/>
      <c r="AT181" s="1"/>
      <c r="AU181" s="1"/>
      <c r="AV181" s="1"/>
      <c r="AW181" s="1"/>
      <c r="AX181" s="1"/>
      <c r="AY181" s="1"/>
      <c r="AZ181" s="1" t="s">
        <v>6</v>
      </c>
      <c r="BA181" s="1"/>
      <c r="BB181" s="1" t="s">
        <v>6</v>
      </c>
      <c r="BC181" s="1" t="s">
        <v>6</v>
      </c>
      <c r="BD181" s="1" t="s">
        <v>6</v>
      </c>
      <c r="BE181" s="1" t="s">
        <v>6</v>
      </c>
      <c r="BF181" s="1" t="s">
        <v>6</v>
      </c>
      <c r="BG181" s="1" t="s">
        <v>6</v>
      </c>
      <c r="BH181" s="1" t="s">
        <v>6</v>
      </c>
      <c r="BI181" s="1" t="s">
        <v>6</v>
      </c>
      <c r="BJ181" s="1" t="s">
        <v>6</v>
      </c>
      <c r="BK181" s="1" t="s">
        <v>6</v>
      </c>
      <c r="BL181" s="1" t="s">
        <v>6</v>
      </c>
      <c r="BM181" s="1" t="s">
        <v>6</v>
      </c>
      <c r="BN181" s="1" t="s">
        <v>6</v>
      </c>
      <c r="BO181" s="1" t="s">
        <v>6</v>
      </c>
      <c r="BP181" s="1" t="s">
        <v>6</v>
      </c>
      <c r="BQ181" s="1"/>
      <c r="BR181" s="1"/>
      <c r="BS181" s="1"/>
      <c r="BT181" s="1"/>
      <c r="BU181" s="1"/>
      <c r="BV181" s="1"/>
      <c r="BW181" s="1"/>
      <c r="BX181" s="1">
        <v>0</v>
      </c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>
        <v>0</v>
      </c>
    </row>
    <row r="183" spans="1:245">
      <c r="A183" s="2">
        <v>52</v>
      </c>
      <c r="B183" s="2">
        <f t="shared" ref="B183:G183" si="90">B191</f>
        <v>1</v>
      </c>
      <c r="C183" s="2">
        <f t="shared" si="90"/>
        <v>4</v>
      </c>
      <c r="D183" s="2">
        <f t="shared" si="90"/>
        <v>181</v>
      </c>
      <c r="E183" s="2">
        <f t="shared" si="90"/>
        <v>0</v>
      </c>
      <c r="F183" s="2" t="str">
        <f t="shared" si="90"/>
        <v>Новый раздел</v>
      </c>
      <c r="G183" s="2" t="str">
        <f t="shared" si="90"/>
        <v>Материалы, не учтенные ценником</v>
      </c>
      <c r="H183" s="2"/>
      <c r="I183" s="2"/>
      <c r="J183" s="2"/>
      <c r="K183" s="2"/>
      <c r="L183" s="2"/>
      <c r="M183" s="2"/>
      <c r="N183" s="2"/>
      <c r="O183" s="2">
        <f t="shared" ref="O183:AT183" si="91">O191</f>
        <v>322118.77</v>
      </c>
      <c r="P183" s="2">
        <f t="shared" si="91"/>
        <v>322118.77</v>
      </c>
      <c r="Q183" s="2">
        <f t="shared" si="91"/>
        <v>0</v>
      </c>
      <c r="R183" s="2">
        <f t="shared" si="91"/>
        <v>0</v>
      </c>
      <c r="S183" s="2">
        <f t="shared" si="91"/>
        <v>0</v>
      </c>
      <c r="T183" s="2">
        <f t="shared" si="91"/>
        <v>0</v>
      </c>
      <c r="U183" s="2">
        <f t="shared" si="91"/>
        <v>0</v>
      </c>
      <c r="V183" s="2">
        <f t="shared" si="91"/>
        <v>0</v>
      </c>
      <c r="W183" s="2">
        <f t="shared" si="91"/>
        <v>0</v>
      </c>
      <c r="X183" s="2">
        <f t="shared" si="91"/>
        <v>0</v>
      </c>
      <c r="Y183" s="2">
        <f t="shared" si="91"/>
        <v>0</v>
      </c>
      <c r="Z183" s="2">
        <f t="shared" si="91"/>
        <v>0</v>
      </c>
      <c r="AA183" s="2">
        <f t="shared" si="91"/>
        <v>0</v>
      </c>
      <c r="AB183" s="2">
        <f t="shared" si="91"/>
        <v>322118.77</v>
      </c>
      <c r="AC183" s="2">
        <f t="shared" si="91"/>
        <v>322118.77</v>
      </c>
      <c r="AD183" s="2">
        <f t="shared" si="91"/>
        <v>0</v>
      </c>
      <c r="AE183" s="2">
        <f t="shared" si="91"/>
        <v>0</v>
      </c>
      <c r="AF183" s="2">
        <f t="shared" si="91"/>
        <v>0</v>
      </c>
      <c r="AG183" s="2">
        <f t="shared" si="91"/>
        <v>0</v>
      </c>
      <c r="AH183" s="2">
        <f t="shared" si="91"/>
        <v>0</v>
      </c>
      <c r="AI183" s="2">
        <f t="shared" si="91"/>
        <v>0</v>
      </c>
      <c r="AJ183" s="2">
        <f t="shared" si="91"/>
        <v>0</v>
      </c>
      <c r="AK183" s="2">
        <f t="shared" si="91"/>
        <v>0</v>
      </c>
      <c r="AL183" s="2">
        <f t="shared" si="91"/>
        <v>0</v>
      </c>
      <c r="AM183" s="2">
        <f t="shared" si="91"/>
        <v>0</v>
      </c>
      <c r="AN183" s="2">
        <f t="shared" si="91"/>
        <v>0</v>
      </c>
      <c r="AO183" s="2">
        <f t="shared" si="91"/>
        <v>0</v>
      </c>
      <c r="AP183" s="2">
        <f t="shared" si="91"/>
        <v>0</v>
      </c>
      <c r="AQ183" s="2">
        <f t="shared" si="91"/>
        <v>0</v>
      </c>
      <c r="AR183" s="2">
        <f t="shared" si="91"/>
        <v>322118.77</v>
      </c>
      <c r="AS183" s="2">
        <f t="shared" si="91"/>
        <v>322118.77</v>
      </c>
      <c r="AT183" s="2">
        <f t="shared" si="91"/>
        <v>0</v>
      </c>
      <c r="AU183" s="2">
        <f t="shared" ref="AU183:BZ183" si="92">AU191</f>
        <v>0</v>
      </c>
      <c r="AV183" s="2">
        <f t="shared" si="92"/>
        <v>322118.77</v>
      </c>
      <c r="AW183" s="2">
        <f t="shared" si="92"/>
        <v>322118.77</v>
      </c>
      <c r="AX183" s="2">
        <f t="shared" si="92"/>
        <v>0</v>
      </c>
      <c r="AY183" s="2">
        <f t="shared" si="92"/>
        <v>322118.77</v>
      </c>
      <c r="AZ183" s="2">
        <f t="shared" si="92"/>
        <v>0</v>
      </c>
      <c r="BA183" s="2">
        <f t="shared" si="92"/>
        <v>0</v>
      </c>
      <c r="BB183" s="2">
        <f t="shared" si="92"/>
        <v>0</v>
      </c>
      <c r="BC183" s="2">
        <f t="shared" si="92"/>
        <v>0</v>
      </c>
      <c r="BD183" s="2">
        <f t="shared" si="92"/>
        <v>0</v>
      </c>
      <c r="BE183" s="2">
        <f t="shared" si="92"/>
        <v>0</v>
      </c>
      <c r="BF183" s="2">
        <f t="shared" si="92"/>
        <v>0</v>
      </c>
      <c r="BG183" s="2">
        <f t="shared" si="92"/>
        <v>0</v>
      </c>
      <c r="BH183" s="2">
        <f t="shared" si="92"/>
        <v>0</v>
      </c>
      <c r="BI183" s="2">
        <f t="shared" si="92"/>
        <v>0</v>
      </c>
      <c r="BJ183" s="2">
        <f t="shared" si="92"/>
        <v>0</v>
      </c>
      <c r="BK183" s="2">
        <f t="shared" si="92"/>
        <v>0</v>
      </c>
      <c r="BL183" s="2">
        <f t="shared" si="92"/>
        <v>0</v>
      </c>
      <c r="BM183" s="2">
        <f t="shared" si="92"/>
        <v>0</v>
      </c>
      <c r="BN183" s="2">
        <f t="shared" si="92"/>
        <v>0</v>
      </c>
      <c r="BO183" s="2">
        <f t="shared" si="92"/>
        <v>0</v>
      </c>
      <c r="BP183" s="2">
        <f t="shared" si="92"/>
        <v>0</v>
      </c>
      <c r="BQ183" s="2">
        <f t="shared" si="92"/>
        <v>0</v>
      </c>
      <c r="BR183" s="2">
        <f t="shared" si="92"/>
        <v>0</v>
      </c>
      <c r="BS183" s="2">
        <f t="shared" si="92"/>
        <v>0</v>
      </c>
      <c r="BT183" s="2">
        <f t="shared" si="92"/>
        <v>0</v>
      </c>
      <c r="BU183" s="2">
        <f t="shared" si="92"/>
        <v>0</v>
      </c>
      <c r="BV183" s="2">
        <f t="shared" si="92"/>
        <v>0</v>
      </c>
      <c r="BW183" s="2">
        <f t="shared" si="92"/>
        <v>0</v>
      </c>
      <c r="BX183" s="2">
        <f t="shared" si="92"/>
        <v>0</v>
      </c>
      <c r="BY183" s="2">
        <f t="shared" si="92"/>
        <v>0</v>
      </c>
      <c r="BZ183" s="2">
        <f t="shared" si="92"/>
        <v>0</v>
      </c>
      <c r="CA183" s="2">
        <f t="shared" ref="CA183:DF183" si="93">CA191</f>
        <v>322118.77</v>
      </c>
      <c r="CB183" s="2">
        <f t="shared" si="93"/>
        <v>322118.77</v>
      </c>
      <c r="CC183" s="2">
        <f t="shared" si="93"/>
        <v>0</v>
      </c>
      <c r="CD183" s="2">
        <f t="shared" si="93"/>
        <v>0</v>
      </c>
      <c r="CE183" s="2">
        <f t="shared" si="93"/>
        <v>322118.77</v>
      </c>
      <c r="CF183" s="2">
        <f t="shared" si="93"/>
        <v>322118.77</v>
      </c>
      <c r="CG183" s="2">
        <f t="shared" si="93"/>
        <v>0</v>
      </c>
      <c r="CH183" s="2">
        <f t="shared" si="93"/>
        <v>322118.77</v>
      </c>
      <c r="CI183" s="2">
        <f t="shared" si="93"/>
        <v>0</v>
      </c>
      <c r="CJ183" s="2">
        <f t="shared" si="93"/>
        <v>0</v>
      </c>
      <c r="CK183" s="2">
        <f t="shared" si="93"/>
        <v>0</v>
      </c>
      <c r="CL183" s="2">
        <f t="shared" si="93"/>
        <v>0</v>
      </c>
      <c r="CM183" s="2">
        <f t="shared" si="93"/>
        <v>0</v>
      </c>
      <c r="CN183" s="2">
        <f t="shared" si="93"/>
        <v>0</v>
      </c>
      <c r="CO183" s="2">
        <f t="shared" si="93"/>
        <v>0</v>
      </c>
      <c r="CP183" s="2">
        <f t="shared" si="93"/>
        <v>0</v>
      </c>
      <c r="CQ183" s="2">
        <f t="shared" si="93"/>
        <v>0</v>
      </c>
      <c r="CR183" s="2">
        <f t="shared" si="93"/>
        <v>0</v>
      </c>
      <c r="CS183" s="2">
        <f t="shared" si="93"/>
        <v>0</v>
      </c>
      <c r="CT183" s="2">
        <f t="shared" si="93"/>
        <v>0</v>
      </c>
      <c r="CU183" s="2">
        <f t="shared" si="93"/>
        <v>0</v>
      </c>
      <c r="CV183" s="2">
        <f t="shared" si="93"/>
        <v>0</v>
      </c>
      <c r="CW183" s="2">
        <f t="shared" si="93"/>
        <v>0</v>
      </c>
      <c r="CX183" s="2">
        <f t="shared" si="93"/>
        <v>0</v>
      </c>
      <c r="CY183" s="2">
        <f t="shared" si="93"/>
        <v>0</v>
      </c>
      <c r="CZ183" s="2">
        <f t="shared" si="93"/>
        <v>0</v>
      </c>
      <c r="DA183" s="2">
        <f t="shared" si="93"/>
        <v>0</v>
      </c>
      <c r="DB183" s="2">
        <f t="shared" si="93"/>
        <v>0</v>
      </c>
      <c r="DC183" s="2">
        <f t="shared" si="93"/>
        <v>0</v>
      </c>
      <c r="DD183" s="2">
        <f t="shared" si="93"/>
        <v>0</v>
      </c>
      <c r="DE183" s="2">
        <f t="shared" si="93"/>
        <v>0</v>
      </c>
      <c r="DF183" s="2">
        <f t="shared" si="93"/>
        <v>0</v>
      </c>
      <c r="DG183" s="3">
        <f t="shared" ref="DG183:EL183" si="94">DG191</f>
        <v>0</v>
      </c>
      <c r="DH183" s="3">
        <f t="shared" si="94"/>
        <v>0</v>
      </c>
      <c r="DI183" s="3">
        <f t="shared" si="94"/>
        <v>0</v>
      </c>
      <c r="DJ183" s="3">
        <f t="shared" si="94"/>
        <v>0</v>
      </c>
      <c r="DK183" s="3">
        <f t="shared" si="94"/>
        <v>0</v>
      </c>
      <c r="DL183" s="3">
        <f t="shared" si="94"/>
        <v>0</v>
      </c>
      <c r="DM183" s="3">
        <f t="shared" si="94"/>
        <v>0</v>
      </c>
      <c r="DN183" s="3">
        <f t="shared" si="94"/>
        <v>0</v>
      </c>
      <c r="DO183" s="3">
        <f t="shared" si="94"/>
        <v>0</v>
      </c>
      <c r="DP183" s="3">
        <f t="shared" si="94"/>
        <v>0</v>
      </c>
      <c r="DQ183" s="3">
        <f t="shared" si="94"/>
        <v>0</v>
      </c>
      <c r="DR183" s="3">
        <f t="shared" si="94"/>
        <v>0</v>
      </c>
      <c r="DS183" s="3">
        <f t="shared" si="94"/>
        <v>0</v>
      </c>
      <c r="DT183" s="3">
        <f t="shared" si="94"/>
        <v>0</v>
      </c>
      <c r="DU183" s="3">
        <f t="shared" si="94"/>
        <v>0</v>
      </c>
      <c r="DV183" s="3">
        <f t="shared" si="94"/>
        <v>0</v>
      </c>
      <c r="DW183" s="3">
        <f t="shared" si="94"/>
        <v>0</v>
      </c>
      <c r="DX183" s="3">
        <f t="shared" si="94"/>
        <v>0</v>
      </c>
      <c r="DY183" s="3">
        <f t="shared" si="94"/>
        <v>0</v>
      </c>
      <c r="DZ183" s="3">
        <f t="shared" si="94"/>
        <v>0</v>
      </c>
      <c r="EA183" s="3">
        <f t="shared" si="94"/>
        <v>0</v>
      </c>
      <c r="EB183" s="3">
        <f t="shared" si="94"/>
        <v>0</v>
      </c>
      <c r="EC183" s="3">
        <f t="shared" si="94"/>
        <v>0</v>
      </c>
      <c r="ED183" s="3">
        <f t="shared" si="94"/>
        <v>0</v>
      </c>
      <c r="EE183" s="3">
        <f t="shared" si="94"/>
        <v>0</v>
      </c>
      <c r="EF183" s="3">
        <f t="shared" si="94"/>
        <v>0</v>
      </c>
      <c r="EG183" s="3">
        <f t="shared" si="94"/>
        <v>0</v>
      </c>
      <c r="EH183" s="3">
        <f t="shared" si="94"/>
        <v>0</v>
      </c>
      <c r="EI183" s="3">
        <f t="shared" si="94"/>
        <v>0</v>
      </c>
      <c r="EJ183" s="3">
        <f t="shared" si="94"/>
        <v>0</v>
      </c>
      <c r="EK183" s="3">
        <f t="shared" si="94"/>
        <v>0</v>
      </c>
      <c r="EL183" s="3">
        <f t="shared" si="94"/>
        <v>0</v>
      </c>
      <c r="EM183" s="3">
        <f t="shared" ref="EM183:FR183" si="95">EM191</f>
        <v>0</v>
      </c>
      <c r="EN183" s="3">
        <f t="shared" si="95"/>
        <v>0</v>
      </c>
      <c r="EO183" s="3">
        <f t="shared" si="95"/>
        <v>0</v>
      </c>
      <c r="EP183" s="3">
        <f t="shared" si="95"/>
        <v>0</v>
      </c>
      <c r="EQ183" s="3">
        <f t="shared" si="95"/>
        <v>0</v>
      </c>
      <c r="ER183" s="3">
        <f t="shared" si="95"/>
        <v>0</v>
      </c>
      <c r="ES183" s="3">
        <f t="shared" si="95"/>
        <v>0</v>
      </c>
      <c r="ET183" s="3">
        <f t="shared" si="95"/>
        <v>0</v>
      </c>
      <c r="EU183" s="3">
        <f t="shared" si="95"/>
        <v>0</v>
      </c>
      <c r="EV183" s="3">
        <f t="shared" si="95"/>
        <v>0</v>
      </c>
      <c r="EW183" s="3">
        <f t="shared" si="95"/>
        <v>0</v>
      </c>
      <c r="EX183" s="3">
        <f t="shared" si="95"/>
        <v>0</v>
      </c>
      <c r="EY183" s="3">
        <f t="shared" si="95"/>
        <v>0</v>
      </c>
      <c r="EZ183" s="3">
        <f t="shared" si="95"/>
        <v>0</v>
      </c>
      <c r="FA183" s="3">
        <f t="shared" si="95"/>
        <v>0</v>
      </c>
      <c r="FB183" s="3">
        <f t="shared" si="95"/>
        <v>0</v>
      </c>
      <c r="FC183" s="3">
        <f t="shared" si="95"/>
        <v>0</v>
      </c>
      <c r="FD183" s="3">
        <f t="shared" si="95"/>
        <v>0</v>
      </c>
      <c r="FE183" s="3">
        <f t="shared" si="95"/>
        <v>0</v>
      </c>
      <c r="FF183" s="3">
        <f t="shared" si="95"/>
        <v>0</v>
      </c>
      <c r="FG183" s="3">
        <f t="shared" si="95"/>
        <v>0</v>
      </c>
      <c r="FH183" s="3">
        <f t="shared" si="95"/>
        <v>0</v>
      </c>
      <c r="FI183" s="3">
        <f t="shared" si="95"/>
        <v>0</v>
      </c>
      <c r="FJ183" s="3">
        <f t="shared" si="95"/>
        <v>0</v>
      </c>
      <c r="FK183" s="3">
        <f t="shared" si="95"/>
        <v>0</v>
      </c>
      <c r="FL183" s="3">
        <f t="shared" si="95"/>
        <v>0</v>
      </c>
      <c r="FM183" s="3">
        <f t="shared" si="95"/>
        <v>0</v>
      </c>
      <c r="FN183" s="3">
        <f t="shared" si="95"/>
        <v>0</v>
      </c>
      <c r="FO183" s="3">
        <f t="shared" si="95"/>
        <v>0</v>
      </c>
      <c r="FP183" s="3">
        <f t="shared" si="95"/>
        <v>0</v>
      </c>
      <c r="FQ183" s="3">
        <f t="shared" si="95"/>
        <v>0</v>
      </c>
      <c r="FR183" s="3">
        <f t="shared" si="95"/>
        <v>0</v>
      </c>
      <c r="FS183" s="3">
        <f t="shared" ref="FS183:GX183" si="96">FS191</f>
        <v>0</v>
      </c>
      <c r="FT183" s="3">
        <f t="shared" si="96"/>
        <v>0</v>
      </c>
      <c r="FU183" s="3">
        <f t="shared" si="96"/>
        <v>0</v>
      </c>
      <c r="FV183" s="3">
        <f t="shared" si="96"/>
        <v>0</v>
      </c>
      <c r="FW183" s="3">
        <f t="shared" si="96"/>
        <v>0</v>
      </c>
      <c r="FX183" s="3">
        <f t="shared" si="96"/>
        <v>0</v>
      </c>
      <c r="FY183" s="3">
        <f t="shared" si="96"/>
        <v>0</v>
      </c>
      <c r="FZ183" s="3">
        <f t="shared" si="96"/>
        <v>0</v>
      </c>
      <c r="GA183" s="3">
        <f t="shared" si="96"/>
        <v>0</v>
      </c>
      <c r="GB183" s="3">
        <f t="shared" si="96"/>
        <v>0</v>
      </c>
      <c r="GC183" s="3">
        <f t="shared" si="96"/>
        <v>0</v>
      </c>
      <c r="GD183" s="3">
        <f t="shared" si="96"/>
        <v>0</v>
      </c>
      <c r="GE183" s="3">
        <f t="shared" si="96"/>
        <v>0</v>
      </c>
      <c r="GF183" s="3">
        <f t="shared" si="96"/>
        <v>0</v>
      </c>
      <c r="GG183" s="3">
        <f t="shared" si="96"/>
        <v>0</v>
      </c>
      <c r="GH183" s="3">
        <f t="shared" si="96"/>
        <v>0</v>
      </c>
      <c r="GI183" s="3">
        <f t="shared" si="96"/>
        <v>0</v>
      </c>
      <c r="GJ183" s="3">
        <f t="shared" si="96"/>
        <v>0</v>
      </c>
      <c r="GK183" s="3">
        <f t="shared" si="96"/>
        <v>0</v>
      </c>
      <c r="GL183" s="3">
        <f t="shared" si="96"/>
        <v>0</v>
      </c>
      <c r="GM183" s="3">
        <f t="shared" si="96"/>
        <v>0</v>
      </c>
      <c r="GN183" s="3">
        <f t="shared" si="96"/>
        <v>0</v>
      </c>
      <c r="GO183" s="3">
        <f t="shared" si="96"/>
        <v>0</v>
      </c>
      <c r="GP183" s="3">
        <f t="shared" si="96"/>
        <v>0</v>
      </c>
      <c r="GQ183" s="3">
        <f t="shared" si="96"/>
        <v>0</v>
      </c>
      <c r="GR183" s="3">
        <f t="shared" si="96"/>
        <v>0</v>
      </c>
      <c r="GS183" s="3">
        <f t="shared" si="96"/>
        <v>0</v>
      </c>
      <c r="GT183" s="3">
        <f t="shared" si="96"/>
        <v>0</v>
      </c>
      <c r="GU183" s="3">
        <f t="shared" si="96"/>
        <v>0</v>
      </c>
      <c r="GV183" s="3">
        <f t="shared" si="96"/>
        <v>0</v>
      </c>
      <c r="GW183" s="3">
        <f t="shared" si="96"/>
        <v>0</v>
      </c>
      <c r="GX183" s="3">
        <f t="shared" si="96"/>
        <v>0</v>
      </c>
    </row>
    <row r="185" spans="1:245">
      <c r="A185">
        <v>17</v>
      </c>
      <c r="B185">
        <v>1</v>
      </c>
      <c r="E185" t="s">
        <v>152</v>
      </c>
      <c r="F185" t="s">
        <v>127</v>
      </c>
      <c r="G185" t="s">
        <v>153</v>
      </c>
      <c r="H185" t="s">
        <v>20</v>
      </c>
      <c r="I185">
        <v>13</v>
      </c>
      <c r="J185">
        <v>0</v>
      </c>
      <c r="K185">
        <v>13</v>
      </c>
      <c r="O185">
        <f>ROUND(CP185,2)</f>
        <v>302900</v>
      </c>
      <c r="P185">
        <f>ROUND(CQ185*I185,2)</f>
        <v>302900</v>
      </c>
      <c r="Q185">
        <f>ROUND(CR185*I185,2)</f>
        <v>0</v>
      </c>
      <c r="R185">
        <f>ROUND(CS185*I185,2)</f>
        <v>0</v>
      </c>
      <c r="S185">
        <f>ROUND(CT185*I185,2)</f>
        <v>0</v>
      </c>
      <c r="T185">
        <f>ROUND(CU185*I185,2)</f>
        <v>0</v>
      </c>
      <c r="U185">
        <f>CV185*I185</f>
        <v>0</v>
      </c>
      <c r="V185">
        <f>CW185*I185</f>
        <v>0</v>
      </c>
      <c r="W185">
        <f>ROUND(CX185*I185,2)</f>
        <v>0</v>
      </c>
      <c r="X185">
        <f t="shared" ref="X185:Y189" si="97">ROUND(CY185,2)</f>
        <v>0</v>
      </c>
      <c r="Y185">
        <f t="shared" si="97"/>
        <v>0</v>
      </c>
      <c r="AA185">
        <v>41853493</v>
      </c>
      <c r="AB185">
        <f>ROUND((AC185+AD185+AF185),2)</f>
        <v>23300</v>
      </c>
      <c r="AC185">
        <f>ROUND((ES185),2)</f>
        <v>23300</v>
      </c>
      <c r="AD185">
        <f>ROUND((((ET185)-(EU185))+AE185),2)</f>
        <v>0</v>
      </c>
      <c r="AE185">
        <f t="shared" ref="AE185:AF189" si="98">ROUND((EU185),2)</f>
        <v>0</v>
      </c>
      <c r="AF185">
        <f t="shared" si="98"/>
        <v>0</v>
      </c>
      <c r="AG185">
        <f>ROUND((AP185),2)</f>
        <v>0</v>
      </c>
      <c r="AH185">
        <f t="shared" ref="AH185:AI189" si="99">(EW185)</f>
        <v>0</v>
      </c>
      <c r="AI185">
        <f t="shared" si="99"/>
        <v>0</v>
      </c>
      <c r="AJ185">
        <f>(AS185)</f>
        <v>0</v>
      </c>
      <c r="AK185">
        <v>23300</v>
      </c>
      <c r="AL185">
        <v>23300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</v>
      </c>
      <c r="BD185" t="s">
        <v>6</v>
      </c>
      <c r="BE185" t="s">
        <v>6</v>
      </c>
      <c r="BF185" t="s">
        <v>6</v>
      </c>
      <c r="BG185" t="s">
        <v>6</v>
      </c>
      <c r="BH185">
        <v>3</v>
      </c>
      <c r="BI185">
        <v>1</v>
      </c>
      <c r="BJ185" t="s">
        <v>6</v>
      </c>
      <c r="BM185">
        <v>1100</v>
      </c>
      <c r="BN185">
        <v>0</v>
      </c>
      <c r="BO185" t="s">
        <v>6</v>
      </c>
      <c r="BP185">
        <v>0</v>
      </c>
      <c r="BQ185">
        <v>8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6</v>
      </c>
      <c r="BZ185">
        <v>0</v>
      </c>
      <c r="CA185">
        <v>0</v>
      </c>
      <c r="CB185" t="s">
        <v>6</v>
      </c>
      <c r="CE185">
        <v>0</v>
      </c>
      <c r="CF185">
        <v>0</v>
      </c>
      <c r="CG185">
        <v>0</v>
      </c>
      <c r="CM185">
        <v>0</v>
      </c>
      <c r="CN185" t="s">
        <v>6</v>
      </c>
      <c r="CO185">
        <v>0</v>
      </c>
      <c r="CP185">
        <f>(P185+Q185+S185+R185)</f>
        <v>302900</v>
      </c>
      <c r="CQ185">
        <f>ROUND(AL185*BC185,2)</f>
        <v>23300</v>
      </c>
      <c r="CR185">
        <f>ROUND(AM185*BB185,2)</f>
        <v>0</v>
      </c>
      <c r="CS185">
        <f>ROUND(AN185*BS185,2)</f>
        <v>0</v>
      </c>
      <c r="CT185">
        <f>ROUND(AO185*BA185,2)</f>
        <v>0</v>
      </c>
      <c r="CU185">
        <f t="shared" ref="CU185:CX189" si="100">AG185</f>
        <v>0</v>
      </c>
      <c r="CV185">
        <f t="shared" si="100"/>
        <v>0</v>
      </c>
      <c r="CW185">
        <f t="shared" si="100"/>
        <v>0</v>
      </c>
      <c r="CX185">
        <f t="shared" si="100"/>
        <v>0</v>
      </c>
      <c r="CY185">
        <f>(((S185+R185)*AT185)/100)</f>
        <v>0</v>
      </c>
      <c r="CZ185">
        <f>(((S185+R185)*AU185)/100)</f>
        <v>0</v>
      </c>
      <c r="DC185" t="s">
        <v>6</v>
      </c>
      <c r="DD185" t="s">
        <v>6</v>
      </c>
      <c r="DE185" t="s">
        <v>6</v>
      </c>
      <c r="DF185" t="s">
        <v>6</v>
      </c>
      <c r="DG185" t="s">
        <v>6</v>
      </c>
      <c r="DH185" t="s">
        <v>6</v>
      </c>
      <c r="DI185" t="s">
        <v>6</v>
      </c>
      <c r="DJ185" t="s">
        <v>6</v>
      </c>
      <c r="DK185" t="s">
        <v>6</v>
      </c>
      <c r="DL185" t="s">
        <v>6</v>
      </c>
      <c r="DM185" t="s">
        <v>6</v>
      </c>
      <c r="DN185">
        <v>0</v>
      </c>
      <c r="DO185">
        <v>0</v>
      </c>
      <c r="DP185">
        <v>1</v>
      </c>
      <c r="DQ185">
        <v>1</v>
      </c>
      <c r="DU185">
        <v>1013</v>
      </c>
      <c r="DV185" t="s">
        <v>20</v>
      </c>
      <c r="DW185" t="s">
        <v>20</v>
      </c>
      <c r="DX185">
        <v>1</v>
      </c>
      <c r="DZ185" t="s">
        <v>6</v>
      </c>
      <c r="EA185" t="s">
        <v>6</v>
      </c>
      <c r="EB185" t="s">
        <v>6</v>
      </c>
      <c r="EC185" t="s">
        <v>6</v>
      </c>
      <c r="EE185">
        <v>40604762</v>
      </c>
      <c r="EF185">
        <v>8</v>
      </c>
      <c r="EG185" t="s">
        <v>129</v>
      </c>
      <c r="EH185">
        <v>0</v>
      </c>
      <c r="EI185" t="s">
        <v>6</v>
      </c>
      <c r="EJ185">
        <v>1</v>
      </c>
      <c r="EK185">
        <v>1100</v>
      </c>
      <c r="EL185" t="s">
        <v>130</v>
      </c>
      <c r="EM185" t="s">
        <v>131</v>
      </c>
      <c r="EO185" t="s">
        <v>6</v>
      </c>
      <c r="EQ185">
        <v>0</v>
      </c>
      <c r="ER185">
        <v>23300</v>
      </c>
      <c r="ES185">
        <v>23300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FQ185">
        <v>0</v>
      </c>
      <c r="FR185">
        <f>ROUND(IF(BI185=3,GM185,0),2)</f>
        <v>0</v>
      </c>
      <c r="FS185">
        <v>0</v>
      </c>
      <c r="FX185">
        <v>0</v>
      </c>
      <c r="FY185">
        <v>0</v>
      </c>
      <c r="GA185" t="s">
        <v>132</v>
      </c>
      <c r="GD185">
        <v>1</v>
      </c>
      <c r="GF185">
        <v>-165096341</v>
      </c>
      <c r="GG185">
        <v>2</v>
      </c>
      <c r="GH185">
        <v>0</v>
      </c>
      <c r="GI185">
        <v>-2</v>
      </c>
      <c r="GJ185">
        <v>0</v>
      </c>
      <c r="GK185">
        <v>0</v>
      </c>
      <c r="GL185">
        <f>ROUND(IF(AND(BH185=3,BI185=3,FS185&lt;&gt;0),P185,0),2)</f>
        <v>0</v>
      </c>
      <c r="GM185">
        <f>ROUND(O185+X185+Y185,2)+GX185</f>
        <v>302900</v>
      </c>
      <c r="GN185">
        <f>IF(OR(BI185=0,BI185=1),GM185,0)</f>
        <v>302900</v>
      </c>
      <c r="GO185">
        <f>IF(BI185=2,GM185,0)</f>
        <v>0</v>
      </c>
      <c r="GP185">
        <f>IF(BI185=4,GM185+GX185,0)</f>
        <v>0</v>
      </c>
      <c r="GR185">
        <v>0</v>
      </c>
      <c r="GS185">
        <v>4</v>
      </c>
      <c r="GT185">
        <v>0</v>
      </c>
      <c r="GU185" t="s">
        <v>6</v>
      </c>
      <c r="GV185">
        <f>ROUND((GT185),2)</f>
        <v>0</v>
      </c>
      <c r="GW185">
        <v>1</v>
      </c>
      <c r="GX185">
        <f>ROUND(HC185*I185,2)</f>
        <v>0</v>
      </c>
      <c r="HA185">
        <v>0</v>
      </c>
      <c r="HB185">
        <v>0</v>
      </c>
      <c r="HC185">
        <f>GV185*GW185</f>
        <v>0</v>
      </c>
      <c r="HE185" t="s">
        <v>6</v>
      </c>
      <c r="HF185" t="s">
        <v>6</v>
      </c>
      <c r="HM185" t="s">
        <v>6</v>
      </c>
      <c r="HN185" t="s">
        <v>6</v>
      </c>
      <c r="HO185" t="s">
        <v>6</v>
      </c>
      <c r="HP185" t="s">
        <v>6</v>
      </c>
      <c r="HQ185" t="s">
        <v>6</v>
      </c>
      <c r="IK185">
        <v>0</v>
      </c>
    </row>
    <row r="186" spans="1:245">
      <c r="A186">
        <v>17</v>
      </c>
      <c r="B186">
        <v>1</v>
      </c>
      <c r="E186" t="s">
        <v>154</v>
      </c>
      <c r="F186" t="s">
        <v>127</v>
      </c>
      <c r="G186" t="s">
        <v>134</v>
      </c>
      <c r="H186" t="s">
        <v>135</v>
      </c>
      <c r="I186">
        <v>52</v>
      </c>
      <c r="J186">
        <v>0</v>
      </c>
      <c r="K186">
        <v>52</v>
      </c>
      <c r="O186">
        <f>ROUND(CP186,2)</f>
        <v>1906.84</v>
      </c>
      <c r="P186">
        <f>ROUND(CQ186*I186,2)</f>
        <v>1906.84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CV186*I186</f>
        <v>0</v>
      </c>
      <c r="V186">
        <f>CW186*I186</f>
        <v>0</v>
      </c>
      <c r="W186">
        <f>ROUND(CX186*I186,2)</f>
        <v>0</v>
      </c>
      <c r="X186">
        <f t="shared" si="97"/>
        <v>0</v>
      </c>
      <c r="Y186">
        <f t="shared" si="97"/>
        <v>0</v>
      </c>
      <c r="AA186">
        <v>41853493</v>
      </c>
      <c r="AB186">
        <f>ROUND((AC186+AD186+AF186),2)</f>
        <v>36.67</v>
      </c>
      <c r="AC186">
        <f>ROUND((ES186),2)</f>
        <v>36.67</v>
      </c>
      <c r="AD186">
        <f>ROUND((((ET186)-(EU186))+AE186),2)</f>
        <v>0</v>
      </c>
      <c r="AE186">
        <f t="shared" si="98"/>
        <v>0</v>
      </c>
      <c r="AF186">
        <f t="shared" si="98"/>
        <v>0</v>
      </c>
      <c r="AG186">
        <f>ROUND((AP186),2)</f>
        <v>0</v>
      </c>
      <c r="AH186">
        <f t="shared" si="99"/>
        <v>0</v>
      </c>
      <c r="AI186">
        <f t="shared" si="99"/>
        <v>0</v>
      </c>
      <c r="AJ186">
        <f>(AS186)</f>
        <v>0</v>
      </c>
      <c r="AK186">
        <v>36.67</v>
      </c>
      <c r="AL186">
        <v>36.67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6</v>
      </c>
      <c r="BE186" t="s">
        <v>6</v>
      </c>
      <c r="BF186" t="s">
        <v>6</v>
      </c>
      <c r="BG186" t="s">
        <v>6</v>
      </c>
      <c r="BH186">
        <v>3</v>
      </c>
      <c r="BI186">
        <v>1</v>
      </c>
      <c r="BJ186" t="s">
        <v>6</v>
      </c>
      <c r="BM186">
        <v>1100</v>
      </c>
      <c r="BN186">
        <v>0</v>
      </c>
      <c r="BO186" t="s">
        <v>6</v>
      </c>
      <c r="BP186">
        <v>0</v>
      </c>
      <c r="BQ186">
        <v>8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6</v>
      </c>
      <c r="BZ186">
        <v>0</v>
      </c>
      <c r="CA186">
        <v>0</v>
      </c>
      <c r="CB186" t="s">
        <v>6</v>
      </c>
      <c r="CE186">
        <v>0</v>
      </c>
      <c r="CF186">
        <v>0</v>
      </c>
      <c r="CG186">
        <v>0</v>
      </c>
      <c r="CM186">
        <v>0</v>
      </c>
      <c r="CN186" t="s">
        <v>6</v>
      </c>
      <c r="CO186">
        <v>0</v>
      </c>
      <c r="CP186">
        <f>(P186+Q186+S186+R186)</f>
        <v>1906.84</v>
      </c>
      <c r="CQ186">
        <f>ROUND(AL186*BC186,2)</f>
        <v>36.67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si="100"/>
        <v>0</v>
      </c>
      <c r="CV186">
        <f t="shared" si="100"/>
        <v>0</v>
      </c>
      <c r="CW186">
        <f t="shared" si="100"/>
        <v>0</v>
      </c>
      <c r="CX186">
        <f t="shared" si="100"/>
        <v>0</v>
      </c>
      <c r="CY186">
        <f>(((S186+R186)*AT186)/100)</f>
        <v>0</v>
      </c>
      <c r="CZ186">
        <f>(((S186+R186)*AU186)/100)</f>
        <v>0</v>
      </c>
      <c r="DC186" t="s">
        <v>6</v>
      </c>
      <c r="DD186" t="s">
        <v>6</v>
      </c>
      <c r="DE186" t="s">
        <v>6</v>
      </c>
      <c r="DF186" t="s">
        <v>6</v>
      </c>
      <c r="DG186" t="s">
        <v>6</v>
      </c>
      <c r="DH186" t="s">
        <v>6</v>
      </c>
      <c r="DI186" t="s">
        <v>6</v>
      </c>
      <c r="DJ186" t="s">
        <v>6</v>
      </c>
      <c r="DK186" t="s">
        <v>6</v>
      </c>
      <c r="DL186" t="s">
        <v>6</v>
      </c>
      <c r="DM186" t="s">
        <v>6</v>
      </c>
      <c r="DN186">
        <v>0</v>
      </c>
      <c r="DO186">
        <v>0</v>
      </c>
      <c r="DP186">
        <v>1</v>
      </c>
      <c r="DQ186">
        <v>1</v>
      </c>
      <c r="DU186">
        <v>1003</v>
      </c>
      <c r="DV186" t="s">
        <v>135</v>
      </c>
      <c r="DW186" t="s">
        <v>135</v>
      </c>
      <c r="DX186">
        <v>1</v>
      </c>
      <c r="DZ186" t="s">
        <v>6</v>
      </c>
      <c r="EA186" t="s">
        <v>6</v>
      </c>
      <c r="EB186" t="s">
        <v>6</v>
      </c>
      <c r="EC186" t="s">
        <v>6</v>
      </c>
      <c r="EE186">
        <v>40604762</v>
      </c>
      <c r="EF186">
        <v>8</v>
      </c>
      <c r="EG186" t="s">
        <v>129</v>
      </c>
      <c r="EH186">
        <v>0</v>
      </c>
      <c r="EI186" t="s">
        <v>6</v>
      </c>
      <c r="EJ186">
        <v>1</v>
      </c>
      <c r="EK186">
        <v>1100</v>
      </c>
      <c r="EL186" t="s">
        <v>130</v>
      </c>
      <c r="EM186" t="s">
        <v>131</v>
      </c>
      <c r="EO186" t="s">
        <v>6</v>
      </c>
      <c r="EQ186">
        <v>0</v>
      </c>
      <c r="ER186">
        <v>36.67</v>
      </c>
      <c r="ES186">
        <v>36.67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132</v>
      </c>
      <c r="GD186">
        <v>1</v>
      </c>
      <c r="GF186">
        <v>1252209326</v>
      </c>
      <c r="GG186">
        <v>2</v>
      </c>
      <c r="GH186">
        <v>0</v>
      </c>
      <c r="GI186">
        <v>-2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1906.84</v>
      </c>
      <c r="GN186">
        <f>IF(OR(BI186=0,BI186=1),GM186,0)</f>
        <v>1906.84</v>
      </c>
      <c r="GO186">
        <f>IF(BI186=2,GM186,0)</f>
        <v>0</v>
      </c>
      <c r="GP186">
        <f>IF(BI186=4,GM186+GX186,0)</f>
        <v>0</v>
      </c>
      <c r="GR186">
        <v>0</v>
      </c>
      <c r="GS186">
        <v>4</v>
      </c>
      <c r="GT186">
        <v>0</v>
      </c>
      <c r="GU186" t="s">
        <v>6</v>
      </c>
      <c r="GV186">
        <f>ROUND((GT186),2)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6</v>
      </c>
      <c r="HF186" t="s">
        <v>6</v>
      </c>
      <c r="HM186" t="s">
        <v>6</v>
      </c>
      <c r="HN186" t="s">
        <v>6</v>
      </c>
      <c r="HO186" t="s">
        <v>6</v>
      </c>
      <c r="HP186" t="s">
        <v>6</v>
      </c>
      <c r="HQ186" t="s">
        <v>6</v>
      </c>
      <c r="IK186">
        <v>0</v>
      </c>
    </row>
    <row r="187" spans="1:245">
      <c r="A187">
        <v>17</v>
      </c>
      <c r="B187">
        <v>1</v>
      </c>
      <c r="E187" t="s">
        <v>155</v>
      </c>
      <c r="F187" t="s">
        <v>127</v>
      </c>
      <c r="G187" t="s">
        <v>137</v>
      </c>
      <c r="H187" t="s">
        <v>20</v>
      </c>
      <c r="I187">
        <v>0.52</v>
      </c>
      <c r="J187">
        <v>0</v>
      </c>
      <c r="K187">
        <v>0.52</v>
      </c>
      <c r="O187">
        <f>ROUND(CP187,2)</f>
        <v>1256.67</v>
      </c>
      <c r="P187">
        <f>ROUND(CQ187*I187,2)</f>
        <v>1256.67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CV187*I187</f>
        <v>0</v>
      </c>
      <c r="V187">
        <f>CW187*I187</f>
        <v>0</v>
      </c>
      <c r="W187">
        <f>ROUND(CX187*I187,2)</f>
        <v>0</v>
      </c>
      <c r="X187">
        <f t="shared" si="97"/>
        <v>0</v>
      </c>
      <c r="Y187">
        <f t="shared" si="97"/>
        <v>0</v>
      </c>
      <c r="AA187">
        <v>41853493</v>
      </c>
      <c r="AB187">
        <f>ROUND((AC187+AD187+AF187),2)</f>
        <v>2416.67</v>
      </c>
      <c r="AC187">
        <f>ROUND((ES187),2)</f>
        <v>2416.67</v>
      </c>
      <c r="AD187">
        <f>ROUND((((ET187)-(EU187))+AE187),2)</f>
        <v>0</v>
      </c>
      <c r="AE187">
        <f t="shared" si="98"/>
        <v>0</v>
      </c>
      <c r="AF187">
        <f t="shared" si="98"/>
        <v>0</v>
      </c>
      <c r="AG187">
        <f>ROUND((AP187),2)</f>
        <v>0</v>
      </c>
      <c r="AH187">
        <f t="shared" si="99"/>
        <v>0</v>
      </c>
      <c r="AI187">
        <f t="shared" si="99"/>
        <v>0</v>
      </c>
      <c r="AJ187">
        <f>(AS187)</f>
        <v>0</v>
      </c>
      <c r="AK187">
        <v>2416.67</v>
      </c>
      <c r="AL187">
        <v>2416.67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6</v>
      </c>
      <c r="BE187" t="s">
        <v>6</v>
      </c>
      <c r="BF187" t="s">
        <v>6</v>
      </c>
      <c r="BG187" t="s">
        <v>6</v>
      </c>
      <c r="BH187">
        <v>3</v>
      </c>
      <c r="BI187">
        <v>1</v>
      </c>
      <c r="BJ187" t="s">
        <v>6</v>
      </c>
      <c r="BM187">
        <v>1100</v>
      </c>
      <c r="BN187">
        <v>0</v>
      </c>
      <c r="BO187" t="s">
        <v>6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6</v>
      </c>
      <c r="BZ187">
        <v>0</v>
      </c>
      <c r="CA187">
        <v>0</v>
      </c>
      <c r="CB187" t="s">
        <v>6</v>
      </c>
      <c r="CE187">
        <v>0</v>
      </c>
      <c r="CF187">
        <v>0</v>
      </c>
      <c r="CG187">
        <v>0</v>
      </c>
      <c r="CM187">
        <v>0</v>
      </c>
      <c r="CN187" t="s">
        <v>6</v>
      </c>
      <c r="CO187">
        <v>0</v>
      </c>
      <c r="CP187">
        <f>(P187+Q187+S187+R187)</f>
        <v>1256.67</v>
      </c>
      <c r="CQ187">
        <f>ROUND(AL187*BC187,2)</f>
        <v>2416.67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0"/>
        <v>0</v>
      </c>
      <c r="CV187">
        <f t="shared" si="100"/>
        <v>0</v>
      </c>
      <c r="CW187">
        <f t="shared" si="100"/>
        <v>0</v>
      </c>
      <c r="CX187">
        <f t="shared" si="100"/>
        <v>0</v>
      </c>
      <c r="CY187">
        <f>(((S187+R187)*AT187)/100)</f>
        <v>0</v>
      </c>
      <c r="CZ187">
        <f>(((S187+R187)*AU187)/100)</f>
        <v>0</v>
      </c>
      <c r="DC187" t="s">
        <v>6</v>
      </c>
      <c r="DD187" t="s">
        <v>6</v>
      </c>
      <c r="DE187" t="s">
        <v>6</v>
      </c>
      <c r="DF187" t="s">
        <v>6</v>
      </c>
      <c r="DG187" t="s">
        <v>6</v>
      </c>
      <c r="DH187" t="s">
        <v>6</v>
      </c>
      <c r="DI187" t="s">
        <v>6</v>
      </c>
      <c r="DJ187" t="s">
        <v>6</v>
      </c>
      <c r="DK187" t="s">
        <v>6</v>
      </c>
      <c r="DL187" t="s">
        <v>6</v>
      </c>
      <c r="DM187" t="s">
        <v>6</v>
      </c>
      <c r="DN187">
        <v>0</v>
      </c>
      <c r="DO187">
        <v>0</v>
      </c>
      <c r="DP187">
        <v>1</v>
      </c>
      <c r="DQ187">
        <v>1</v>
      </c>
      <c r="DU187">
        <v>1013</v>
      </c>
      <c r="DV187" t="s">
        <v>20</v>
      </c>
      <c r="DW187" t="s">
        <v>20</v>
      </c>
      <c r="DX187">
        <v>1</v>
      </c>
      <c r="DZ187" t="s">
        <v>6</v>
      </c>
      <c r="EA187" t="s">
        <v>6</v>
      </c>
      <c r="EB187" t="s">
        <v>6</v>
      </c>
      <c r="EC187" t="s">
        <v>6</v>
      </c>
      <c r="EE187">
        <v>40604762</v>
      </c>
      <c r="EF187">
        <v>8</v>
      </c>
      <c r="EG187" t="s">
        <v>129</v>
      </c>
      <c r="EH187">
        <v>0</v>
      </c>
      <c r="EI187" t="s">
        <v>6</v>
      </c>
      <c r="EJ187">
        <v>1</v>
      </c>
      <c r="EK187">
        <v>1100</v>
      </c>
      <c r="EL187" t="s">
        <v>130</v>
      </c>
      <c r="EM187" t="s">
        <v>131</v>
      </c>
      <c r="EO187" t="s">
        <v>6</v>
      </c>
      <c r="EQ187">
        <v>0</v>
      </c>
      <c r="ER187">
        <v>2416.67</v>
      </c>
      <c r="ES187">
        <v>2416.67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132</v>
      </c>
      <c r="GD187">
        <v>1</v>
      </c>
      <c r="GF187">
        <v>-1031809321</v>
      </c>
      <c r="GG187">
        <v>2</v>
      </c>
      <c r="GH187">
        <v>0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1256.67</v>
      </c>
      <c r="GN187">
        <f>IF(OR(BI187=0,BI187=1),GM187,0)</f>
        <v>1256.67</v>
      </c>
      <c r="GO187">
        <f>IF(BI187=2,GM187,0)</f>
        <v>0</v>
      </c>
      <c r="GP187">
        <f>IF(BI187=4,GM187+GX187,0)</f>
        <v>0</v>
      </c>
      <c r="GR187">
        <v>0</v>
      </c>
      <c r="GS187">
        <v>4</v>
      </c>
      <c r="GT187">
        <v>0</v>
      </c>
      <c r="GU187" t="s">
        <v>6</v>
      </c>
      <c r="GV187">
        <f>ROUND((GT187),2)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6</v>
      </c>
      <c r="HF187" t="s">
        <v>6</v>
      </c>
      <c r="HM187" t="s">
        <v>6</v>
      </c>
      <c r="HN187" t="s">
        <v>6</v>
      </c>
      <c r="HO187" t="s">
        <v>6</v>
      </c>
      <c r="HP187" t="s">
        <v>6</v>
      </c>
      <c r="HQ187" t="s">
        <v>6</v>
      </c>
      <c r="IK187">
        <v>0</v>
      </c>
    </row>
    <row r="188" spans="1:245">
      <c r="A188">
        <v>17</v>
      </c>
      <c r="B188">
        <v>1</v>
      </c>
      <c r="E188" t="s">
        <v>156</v>
      </c>
      <c r="F188" t="s">
        <v>127</v>
      </c>
      <c r="G188" t="s">
        <v>139</v>
      </c>
      <c r="H188" t="s">
        <v>20</v>
      </c>
      <c r="I188">
        <v>26</v>
      </c>
      <c r="J188">
        <v>0</v>
      </c>
      <c r="K188">
        <v>26</v>
      </c>
      <c r="O188">
        <f>ROUND(CP188,2)</f>
        <v>281.58</v>
      </c>
      <c r="P188">
        <f>ROUND(CQ188*I188,2)</f>
        <v>281.58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CV188*I188</f>
        <v>0</v>
      </c>
      <c r="V188">
        <f>CW188*I188</f>
        <v>0</v>
      </c>
      <c r="W188">
        <f>ROUND(CX188*I188,2)</f>
        <v>0</v>
      </c>
      <c r="X188">
        <f t="shared" si="97"/>
        <v>0</v>
      </c>
      <c r="Y188">
        <f t="shared" si="97"/>
        <v>0</v>
      </c>
      <c r="AA188">
        <v>41853493</v>
      </c>
      <c r="AB188">
        <f>ROUND((AC188+AD188+AF188),2)</f>
        <v>10.83</v>
      </c>
      <c r="AC188">
        <f>ROUND((ES188),2)</f>
        <v>10.83</v>
      </c>
      <c r="AD188">
        <f>ROUND((((ET188)-(EU188))+AE188),2)</f>
        <v>0</v>
      </c>
      <c r="AE188">
        <f t="shared" si="98"/>
        <v>0</v>
      </c>
      <c r="AF188">
        <f t="shared" si="98"/>
        <v>0</v>
      </c>
      <c r="AG188">
        <f>ROUND((AP188),2)</f>
        <v>0</v>
      </c>
      <c r="AH188">
        <f t="shared" si="99"/>
        <v>0</v>
      </c>
      <c r="AI188">
        <f t="shared" si="99"/>
        <v>0</v>
      </c>
      <c r="AJ188">
        <f>(AS188)</f>
        <v>0</v>
      </c>
      <c r="AK188">
        <v>10.83</v>
      </c>
      <c r="AL188">
        <v>10.83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6</v>
      </c>
      <c r="BE188" t="s">
        <v>6</v>
      </c>
      <c r="BF188" t="s">
        <v>6</v>
      </c>
      <c r="BG188" t="s">
        <v>6</v>
      </c>
      <c r="BH188">
        <v>3</v>
      </c>
      <c r="BI188">
        <v>1</v>
      </c>
      <c r="BJ188" t="s">
        <v>6</v>
      </c>
      <c r="BM188">
        <v>1100</v>
      </c>
      <c r="BN188">
        <v>0</v>
      </c>
      <c r="BO188" t="s">
        <v>6</v>
      </c>
      <c r="BP188">
        <v>0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6</v>
      </c>
      <c r="BZ188">
        <v>0</v>
      </c>
      <c r="CA188">
        <v>0</v>
      </c>
      <c r="CB188" t="s">
        <v>6</v>
      </c>
      <c r="CE188">
        <v>0</v>
      </c>
      <c r="CF188">
        <v>0</v>
      </c>
      <c r="CG188">
        <v>0</v>
      </c>
      <c r="CM188">
        <v>0</v>
      </c>
      <c r="CN188" t="s">
        <v>6</v>
      </c>
      <c r="CO188">
        <v>0</v>
      </c>
      <c r="CP188">
        <f>(P188+Q188+S188+R188)</f>
        <v>281.58</v>
      </c>
      <c r="CQ188">
        <f>ROUND(AL188*BC188,2)</f>
        <v>10.83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0"/>
        <v>0</v>
      </c>
      <c r="CV188">
        <f t="shared" si="100"/>
        <v>0</v>
      </c>
      <c r="CW188">
        <f t="shared" si="100"/>
        <v>0</v>
      </c>
      <c r="CX188">
        <f t="shared" si="100"/>
        <v>0</v>
      </c>
      <c r="CY188">
        <f>(((S188+R188)*AT188)/100)</f>
        <v>0</v>
      </c>
      <c r="CZ188">
        <f>(((S188+R188)*AU188)/100)</f>
        <v>0</v>
      </c>
      <c r="DC188" t="s">
        <v>6</v>
      </c>
      <c r="DD188" t="s">
        <v>6</v>
      </c>
      <c r="DE188" t="s">
        <v>6</v>
      </c>
      <c r="DF188" t="s">
        <v>6</v>
      </c>
      <c r="DG188" t="s">
        <v>6</v>
      </c>
      <c r="DH188" t="s">
        <v>6</v>
      </c>
      <c r="DI188" t="s">
        <v>6</v>
      </c>
      <c r="DJ188" t="s">
        <v>6</v>
      </c>
      <c r="DK188" t="s">
        <v>6</v>
      </c>
      <c r="DL188" t="s">
        <v>6</v>
      </c>
      <c r="DM188" t="s">
        <v>6</v>
      </c>
      <c r="DN188">
        <v>0</v>
      </c>
      <c r="DO188">
        <v>0</v>
      </c>
      <c r="DP188">
        <v>1</v>
      </c>
      <c r="DQ188">
        <v>1</v>
      </c>
      <c r="DU188">
        <v>1013</v>
      </c>
      <c r="DV188" t="s">
        <v>20</v>
      </c>
      <c r="DW188" t="s">
        <v>20</v>
      </c>
      <c r="DX188">
        <v>1</v>
      </c>
      <c r="DZ188" t="s">
        <v>6</v>
      </c>
      <c r="EA188" t="s">
        <v>6</v>
      </c>
      <c r="EB188" t="s">
        <v>6</v>
      </c>
      <c r="EC188" t="s">
        <v>6</v>
      </c>
      <c r="EE188">
        <v>40604762</v>
      </c>
      <c r="EF188">
        <v>8</v>
      </c>
      <c r="EG188" t="s">
        <v>129</v>
      </c>
      <c r="EH188">
        <v>0</v>
      </c>
      <c r="EI188" t="s">
        <v>6</v>
      </c>
      <c r="EJ188">
        <v>1</v>
      </c>
      <c r="EK188">
        <v>1100</v>
      </c>
      <c r="EL188" t="s">
        <v>130</v>
      </c>
      <c r="EM188" t="s">
        <v>131</v>
      </c>
      <c r="EO188" t="s">
        <v>6</v>
      </c>
      <c r="EQ188">
        <v>0</v>
      </c>
      <c r="ER188">
        <v>10.83</v>
      </c>
      <c r="ES188">
        <v>10.83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132</v>
      </c>
      <c r="GD188">
        <v>1</v>
      </c>
      <c r="GF188">
        <v>-1948352430</v>
      </c>
      <c r="GG188">
        <v>2</v>
      </c>
      <c r="GH188">
        <v>0</v>
      </c>
      <c r="GI188">
        <v>-2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281.58</v>
      </c>
      <c r="GN188">
        <f>IF(OR(BI188=0,BI188=1),GM188,0)</f>
        <v>281.58</v>
      </c>
      <c r="GO188">
        <f>IF(BI188=2,GM188,0)</f>
        <v>0</v>
      </c>
      <c r="GP188">
        <f>IF(BI188=4,GM188+GX188,0)</f>
        <v>0</v>
      </c>
      <c r="GR188">
        <v>0</v>
      </c>
      <c r="GS188">
        <v>4</v>
      </c>
      <c r="GT188">
        <v>0</v>
      </c>
      <c r="GU188" t="s">
        <v>6</v>
      </c>
      <c r="GV188">
        <f>ROUND((GT188),2)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6</v>
      </c>
      <c r="HF188" t="s">
        <v>6</v>
      </c>
      <c r="HM188" t="s">
        <v>6</v>
      </c>
      <c r="HN188" t="s">
        <v>6</v>
      </c>
      <c r="HO188" t="s">
        <v>6</v>
      </c>
      <c r="HP188" t="s">
        <v>6</v>
      </c>
      <c r="HQ188" t="s">
        <v>6</v>
      </c>
      <c r="IK188">
        <v>0</v>
      </c>
    </row>
    <row r="189" spans="1:245">
      <c r="A189">
        <v>17</v>
      </c>
      <c r="B189">
        <v>1</v>
      </c>
      <c r="E189" t="s">
        <v>157</v>
      </c>
      <c r="F189" t="s">
        <v>127</v>
      </c>
      <c r="G189" t="s">
        <v>141</v>
      </c>
      <c r="H189" t="s">
        <v>20</v>
      </c>
      <c r="I189">
        <v>104</v>
      </c>
      <c r="J189">
        <v>0</v>
      </c>
      <c r="K189">
        <v>104</v>
      </c>
      <c r="O189">
        <f>ROUND(CP189,2)</f>
        <v>15773.68</v>
      </c>
      <c r="P189">
        <f>ROUND(CQ189*I189,2)</f>
        <v>15773.68</v>
      </c>
      <c r="Q189">
        <f>ROUND(CR189*I189,2)</f>
        <v>0</v>
      </c>
      <c r="R189">
        <f>ROUND(CS189*I189,2)</f>
        <v>0</v>
      </c>
      <c r="S189">
        <f>ROUND(CT189*I189,2)</f>
        <v>0</v>
      </c>
      <c r="T189">
        <f>ROUND(CU189*I189,2)</f>
        <v>0</v>
      </c>
      <c r="U189">
        <f>CV189*I189</f>
        <v>0</v>
      </c>
      <c r="V189">
        <f>CW189*I189</f>
        <v>0</v>
      </c>
      <c r="W189">
        <f>ROUND(CX189*I189,2)</f>
        <v>0</v>
      </c>
      <c r="X189">
        <f t="shared" si="97"/>
        <v>0</v>
      </c>
      <c r="Y189">
        <f t="shared" si="97"/>
        <v>0</v>
      </c>
      <c r="AA189">
        <v>41853493</v>
      </c>
      <c r="AB189">
        <f>ROUND((AC189+AD189+AF189),2)</f>
        <v>151.66999999999999</v>
      </c>
      <c r="AC189">
        <f>ROUND((ES189),2)</f>
        <v>151.66999999999999</v>
      </c>
      <c r="AD189">
        <f>ROUND((((ET189)-(EU189))+AE189),2)</f>
        <v>0</v>
      </c>
      <c r="AE189">
        <f t="shared" si="98"/>
        <v>0</v>
      </c>
      <c r="AF189">
        <f t="shared" si="98"/>
        <v>0</v>
      </c>
      <c r="AG189">
        <f>ROUND((AP189),2)</f>
        <v>0</v>
      </c>
      <c r="AH189">
        <f t="shared" si="99"/>
        <v>0</v>
      </c>
      <c r="AI189">
        <f t="shared" si="99"/>
        <v>0</v>
      </c>
      <c r="AJ189">
        <f>(AS189)</f>
        <v>0</v>
      </c>
      <c r="AK189">
        <v>151.66999999999999</v>
      </c>
      <c r="AL189">
        <v>151.66999999999999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6</v>
      </c>
      <c r="BE189" t="s">
        <v>6</v>
      </c>
      <c r="BF189" t="s">
        <v>6</v>
      </c>
      <c r="BG189" t="s">
        <v>6</v>
      </c>
      <c r="BH189">
        <v>3</v>
      </c>
      <c r="BI189">
        <v>1</v>
      </c>
      <c r="BJ189" t="s">
        <v>6</v>
      </c>
      <c r="BM189">
        <v>1100</v>
      </c>
      <c r="BN189">
        <v>0</v>
      </c>
      <c r="BO189" t="s">
        <v>6</v>
      </c>
      <c r="BP189">
        <v>0</v>
      </c>
      <c r="BQ189">
        <v>8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6</v>
      </c>
      <c r="BZ189">
        <v>0</v>
      </c>
      <c r="CA189">
        <v>0</v>
      </c>
      <c r="CB189" t="s">
        <v>6</v>
      </c>
      <c r="CE189">
        <v>0</v>
      </c>
      <c r="CF189">
        <v>0</v>
      </c>
      <c r="CG189">
        <v>0</v>
      </c>
      <c r="CM189">
        <v>0</v>
      </c>
      <c r="CN189" t="s">
        <v>6</v>
      </c>
      <c r="CO189">
        <v>0</v>
      </c>
      <c r="CP189">
        <f>(P189+Q189+S189+R189)</f>
        <v>15773.68</v>
      </c>
      <c r="CQ189">
        <f>ROUND(AL189*BC189,2)</f>
        <v>151.66999999999999</v>
      </c>
      <c r="CR189">
        <f>ROUND(AM189*BB189,2)</f>
        <v>0</v>
      </c>
      <c r="CS189">
        <f>ROUND(AN189*BS189,2)</f>
        <v>0</v>
      </c>
      <c r="CT189">
        <f>ROUND(AO189*BA189,2)</f>
        <v>0</v>
      </c>
      <c r="CU189">
        <f t="shared" si="100"/>
        <v>0</v>
      </c>
      <c r="CV189">
        <f t="shared" si="100"/>
        <v>0</v>
      </c>
      <c r="CW189">
        <f t="shared" si="100"/>
        <v>0</v>
      </c>
      <c r="CX189">
        <f t="shared" si="100"/>
        <v>0</v>
      </c>
      <c r="CY189">
        <f>(((S189+R189)*AT189)/100)</f>
        <v>0</v>
      </c>
      <c r="CZ189">
        <f>(((S189+R189)*AU189)/100)</f>
        <v>0</v>
      </c>
      <c r="DC189" t="s">
        <v>6</v>
      </c>
      <c r="DD189" t="s">
        <v>6</v>
      </c>
      <c r="DE189" t="s">
        <v>6</v>
      </c>
      <c r="DF189" t="s">
        <v>6</v>
      </c>
      <c r="DG189" t="s">
        <v>6</v>
      </c>
      <c r="DH189" t="s">
        <v>6</v>
      </c>
      <c r="DI189" t="s">
        <v>6</v>
      </c>
      <c r="DJ189" t="s">
        <v>6</v>
      </c>
      <c r="DK189" t="s">
        <v>6</v>
      </c>
      <c r="DL189" t="s">
        <v>6</v>
      </c>
      <c r="DM189" t="s">
        <v>6</v>
      </c>
      <c r="DN189">
        <v>0</v>
      </c>
      <c r="DO189">
        <v>0</v>
      </c>
      <c r="DP189">
        <v>1</v>
      </c>
      <c r="DQ189">
        <v>1</v>
      </c>
      <c r="DU189">
        <v>1013</v>
      </c>
      <c r="DV189" t="s">
        <v>20</v>
      </c>
      <c r="DW189" t="s">
        <v>20</v>
      </c>
      <c r="DX189">
        <v>1</v>
      </c>
      <c r="DZ189" t="s">
        <v>6</v>
      </c>
      <c r="EA189" t="s">
        <v>6</v>
      </c>
      <c r="EB189" t="s">
        <v>6</v>
      </c>
      <c r="EC189" t="s">
        <v>6</v>
      </c>
      <c r="EE189">
        <v>40604762</v>
      </c>
      <c r="EF189">
        <v>8</v>
      </c>
      <c r="EG189" t="s">
        <v>129</v>
      </c>
      <c r="EH189">
        <v>0</v>
      </c>
      <c r="EI189" t="s">
        <v>6</v>
      </c>
      <c r="EJ189">
        <v>1</v>
      </c>
      <c r="EK189">
        <v>1100</v>
      </c>
      <c r="EL189" t="s">
        <v>130</v>
      </c>
      <c r="EM189" t="s">
        <v>131</v>
      </c>
      <c r="EO189" t="s">
        <v>6</v>
      </c>
      <c r="EQ189">
        <v>0</v>
      </c>
      <c r="ER189">
        <v>151.66999999999999</v>
      </c>
      <c r="ES189">
        <v>151.66999999999999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FQ189">
        <v>0</v>
      </c>
      <c r="FR189">
        <f>ROUND(IF(BI189=3,GM189,0),2)</f>
        <v>0</v>
      </c>
      <c r="FS189">
        <v>0</v>
      </c>
      <c r="FX189">
        <v>0</v>
      </c>
      <c r="FY189">
        <v>0</v>
      </c>
      <c r="GA189" t="s">
        <v>132</v>
      </c>
      <c r="GD189">
        <v>1</v>
      </c>
      <c r="GF189">
        <v>434122021</v>
      </c>
      <c r="GG189">
        <v>2</v>
      </c>
      <c r="GH189">
        <v>0</v>
      </c>
      <c r="GI189">
        <v>-2</v>
      </c>
      <c r="GJ189">
        <v>0</v>
      </c>
      <c r="GK189">
        <v>0</v>
      </c>
      <c r="GL189">
        <f>ROUND(IF(AND(BH189=3,BI189=3,FS189&lt;&gt;0),P189,0),2)</f>
        <v>0</v>
      </c>
      <c r="GM189">
        <f>ROUND(O189+X189+Y189,2)+GX189</f>
        <v>15773.68</v>
      </c>
      <c r="GN189">
        <f>IF(OR(BI189=0,BI189=1),GM189,0)</f>
        <v>15773.68</v>
      </c>
      <c r="GO189">
        <f>IF(BI189=2,GM189,0)</f>
        <v>0</v>
      </c>
      <c r="GP189">
        <f>IF(BI189=4,GM189+GX189,0)</f>
        <v>0</v>
      </c>
      <c r="GR189">
        <v>0</v>
      </c>
      <c r="GS189">
        <v>4</v>
      </c>
      <c r="GT189">
        <v>0</v>
      </c>
      <c r="GU189" t="s">
        <v>6</v>
      </c>
      <c r="GV189">
        <f>ROUND((GT189),2)</f>
        <v>0</v>
      </c>
      <c r="GW189">
        <v>1</v>
      </c>
      <c r="GX189">
        <f>ROUND(HC189*I189,2)</f>
        <v>0</v>
      </c>
      <c r="HA189">
        <v>0</v>
      </c>
      <c r="HB189">
        <v>0</v>
      </c>
      <c r="HC189">
        <f>GV189*GW189</f>
        <v>0</v>
      </c>
      <c r="HE189" t="s">
        <v>6</v>
      </c>
      <c r="HF189" t="s">
        <v>6</v>
      </c>
      <c r="HM189" t="s">
        <v>6</v>
      </c>
      <c r="HN189" t="s">
        <v>6</v>
      </c>
      <c r="HO189" t="s">
        <v>6</v>
      </c>
      <c r="HP189" t="s">
        <v>6</v>
      </c>
      <c r="HQ189" t="s">
        <v>6</v>
      </c>
      <c r="IK189">
        <v>0</v>
      </c>
    </row>
    <row r="191" spans="1:245">
      <c r="A191" s="2">
        <v>51</v>
      </c>
      <c r="B191" s="2">
        <f>B181</f>
        <v>1</v>
      </c>
      <c r="C191" s="2">
        <f>A181</f>
        <v>4</v>
      </c>
      <c r="D191" s="2">
        <f>ROW(A181)</f>
        <v>181</v>
      </c>
      <c r="E191" s="2"/>
      <c r="F191" s="2" t="str">
        <f>IF(F181&lt;&gt;"",F181,"")</f>
        <v>Новый раздел</v>
      </c>
      <c r="G191" s="2" t="str">
        <f>IF(G181&lt;&gt;"",G181,"")</f>
        <v>Материалы, не учтенные ценником</v>
      </c>
      <c r="H191" s="2">
        <v>0</v>
      </c>
      <c r="I191" s="2"/>
      <c r="J191" s="2"/>
      <c r="K191" s="2"/>
      <c r="L191" s="2"/>
      <c r="M191" s="2"/>
      <c r="N191" s="2"/>
      <c r="O191" s="2">
        <f t="shared" ref="O191:T191" si="101">ROUND(AB191,2)</f>
        <v>322118.77</v>
      </c>
      <c r="P191" s="2">
        <f t="shared" si="101"/>
        <v>322118.77</v>
      </c>
      <c r="Q191" s="2">
        <f t="shared" si="101"/>
        <v>0</v>
      </c>
      <c r="R191" s="2">
        <f t="shared" si="101"/>
        <v>0</v>
      </c>
      <c r="S191" s="2">
        <f t="shared" si="101"/>
        <v>0</v>
      </c>
      <c r="T191" s="2">
        <f t="shared" si="101"/>
        <v>0</v>
      </c>
      <c r="U191" s="2">
        <f>AH191</f>
        <v>0</v>
      </c>
      <c r="V191" s="2">
        <f>AI191</f>
        <v>0</v>
      </c>
      <c r="W191" s="2">
        <f>ROUND(AJ191,2)</f>
        <v>0</v>
      </c>
      <c r="X191" s="2">
        <f>ROUND(AK191,2)</f>
        <v>0</v>
      </c>
      <c r="Y191" s="2">
        <f>ROUND(AL191,2)</f>
        <v>0</v>
      </c>
      <c r="Z191" s="2"/>
      <c r="AA191" s="2"/>
      <c r="AB191" s="2">
        <f>ROUND(SUMIF(AA185:AA189,"=41853493",O185:O189),2)</f>
        <v>322118.77</v>
      </c>
      <c r="AC191" s="2">
        <f>ROUND(SUMIF(AA185:AA189,"=41853493",P185:P189),2)</f>
        <v>322118.77</v>
      </c>
      <c r="AD191" s="2">
        <f>ROUND(SUMIF(AA185:AA189,"=41853493",Q185:Q189),2)</f>
        <v>0</v>
      </c>
      <c r="AE191" s="2">
        <f>ROUND(SUMIF(AA185:AA189,"=41853493",R185:R189),2)</f>
        <v>0</v>
      </c>
      <c r="AF191" s="2">
        <f>ROUND(SUMIF(AA185:AA189,"=41853493",S185:S189),2)</f>
        <v>0</v>
      </c>
      <c r="AG191" s="2">
        <f>ROUND(SUMIF(AA185:AA189,"=41853493",T185:T189),2)</f>
        <v>0</v>
      </c>
      <c r="AH191" s="2">
        <f>SUMIF(AA185:AA189,"=41853493",U185:U189)</f>
        <v>0</v>
      </c>
      <c r="AI191" s="2">
        <f>SUMIF(AA185:AA189,"=41853493",V185:V189)</f>
        <v>0</v>
      </c>
      <c r="AJ191" s="2">
        <f>ROUND(SUMIF(AA185:AA189,"=41853493",W185:W189),2)</f>
        <v>0</v>
      </c>
      <c r="AK191" s="2">
        <f>ROUND(SUMIF(AA185:AA189,"=41853493",X185:X189),2)</f>
        <v>0</v>
      </c>
      <c r="AL191" s="2">
        <f>ROUND(SUMIF(AA185:AA189,"=41853493",Y185:Y189),2)</f>
        <v>0</v>
      </c>
      <c r="AM191" s="2"/>
      <c r="AN191" s="2"/>
      <c r="AO191" s="2">
        <f t="shared" ref="AO191:BD191" si="102">ROUND(BX191,2)</f>
        <v>0</v>
      </c>
      <c r="AP191" s="2">
        <f t="shared" si="102"/>
        <v>0</v>
      </c>
      <c r="AQ191" s="2">
        <f t="shared" si="102"/>
        <v>0</v>
      </c>
      <c r="AR191" s="2">
        <f t="shared" si="102"/>
        <v>322118.77</v>
      </c>
      <c r="AS191" s="2">
        <f t="shared" si="102"/>
        <v>322118.77</v>
      </c>
      <c r="AT191" s="2">
        <f t="shared" si="102"/>
        <v>0</v>
      </c>
      <c r="AU191" s="2">
        <f t="shared" si="102"/>
        <v>0</v>
      </c>
      <c r="AV191" s="2">
        <f t="shared" si="102"/>
        <v>322118.77</v>
      </c>
      <c r="AW191" s="2">
        <f t="shared" si="102"/>
        <v>322118.77</v>
      </c>
      <c r="AX191" s="2">
        <f t="shared" si="102"/>
        <v>0</v>
      </c>
      <c r="AY191" s="2">
        <f t="shared" si="102"/>
        <v>322118.77</v>
      </c>
      <c r="AZ191" s="2">
        <f t="shared" si="102"/>
        <v>0</v>
      </c>
      <c r="BA191" s="2">
        <f t="shared" si="102"/>
        <v>0</v>
      </c>
      <c r="BB191" s="2">
        <f t="shared" si="102"/>
        <v>0</v>
      </c>
      <c r="BC191" s="2">
        <f t="shared" si="102"/>
        <v>0</v>
      </c>
      <c r="BD191" s="2">
        <f t="shared" si="102"/>
        <v>0</v>
      </c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>
        <f>ROUND(SUMIF(AA185:AA189,"=41853493",FQ185:FQ189),2)</f>
        <v>0</v>
      </c>
      <c r="BY191" s="2">
        <f>ROUND(SUMIF(AA185:AA189,"=41853493",FR185:FR189),2)</f>
        <v>0</v>
      </c>
      <c r="BZ191" s="2">
        <f>ROUND(SUMIF(AA185:AA189,"=41853493",GL185:GL189),2)</f>
        <v>0</v>
      </c>
      <c r="CA191" s="2">
        <f>ROUND(SUMIF(AA185:AA189,"=41853493",GM185:GM189),2)</f>
        <v>322118.77</v>
      </c>
      <c r="CB191" s="2">
        <f>ROUND(SUMIF(AA185:AA189,"=41853493",GN185:GN189),2)</f>
        <v>322118.77</v>
      </c>
      <c r="CC191" s="2">
        <f>ROUND(SUMIF(AA185:AA189,"=41853493",GO185:GO189),2)</f>
        <v>0</v>
      </c>
      <c r="CD191" s="2">
        <f>ROUND(SUMIF(AA185:AA189,"=41853493",GP185:GP189),2)</f>
        <v>0</v>
      </c>
      <c r="CE191" s="2">
        <f>AC191-BX191</f>
        <v>322118.77</v>
      </c>
      <c r="CF191" s="2">
        <f>AC191-BY191</f>
        <v>322118.77</v>
      </c>
      <c r="CG191" s="2">
        <f>BX191-BZ191</f>
        <v>0</v>
      </c>
      <c r="CH191" s="2">
        <f>AC191-BX191-BY191+BZ191</f>
        <v>322118.77</v>
      </c>
      <c r="CI191" s="2">
        <f>BY191-BZ191</f>
        <v>0</v>
      </c>
      <c r="CJ191" s="2">
        <f>ROUND(SUMIF(AA185:AA189,"=41853493",GX185:GX189),2)</f>
        <v>0</v>
      </c>
      <c r="CK191" s="2">
        <f>ROUND(SUMIF(AA185:AA189,"=41853493",GY185:GY189),2)</f>
        <v>0</v>
      </c>
      <c r="CL191" s="2">
        <f>ROUND(SUMIF(AA185:AA189,"=41853493",GZ185:GZ189),2)</f>
        <v>0</v>
      </c>
      <c r="CM191" s="2">
        <f>ROUND(SUMIF(AA185:AA189,"=41853493",HD185:HD189),2)</f>
        <v>0</v>
      </c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>
        <v>0</v>
      </c>
    </row>
    <row r="193" spans="1:28">
      <c r="A193" s="4">
        <v>50</v>
      </c>
      <c r="B193" s="4">
        <v>1</v>
      </c>
      <c r="C193" s="4">
        <v>0</v>
      </c>
      <c r="D193" s="4">
        <v>1</v>
      </c>
      <c r="E193" s="4">
        <v>201</v>
      </c>
      <c r="F193" s="4">
        <f>ROUND(Source!O191,O193)</f>
        <v>322118.77</v>
      </c>
      <c r="G193" s="4" t="s">
        <v>47</v>
      </c>
      <c r="H193" s="4" t="s">
        <v>48</v>
      </c>
      <c r="I193" s="4"/>
      <c r="J193" s="4"/>
      <c r="K193" s="4">
        <v>201</v>
      </c>
      <c r="L193" s="4">
        <v>1</v>
      </c>
      <c r="M193" s="4">
        <v>1</v>
      </c>
      <c r="N193" s="4" t="s">
        <v>6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322118.77</v>
      </c>
      <c r="X193" s="4">
        <v>1</v>
      </c>
      <c r="Y193" s="4">
        <v>322118.77</v>
      </c>
      <c r="Z193" s="4"/>
      <c r="AA193" s="4"/>
      <c r="AB193" s="4"/>
    </row>
    <row r="194" spans="1:28">
      <c r="A194" s="4">
        <v>50</v>
      </c>
      <c r="B194" s="4">
        <v>1</v>
      </c>
      <c r="C194" s="4">
        <v>0</v>
      </c>
      <c r="D194" s="4">
        <v>1</v>
      </c>
      <c r="E194" s="4">
        <v>202</v>
      </c>
      <c r="F194" s="4">
        <f>ROUND(Source!P191,O194)</f>
        <v>322118.77</v>
      </c>
      <c r="G194" s="4" t="s">
        <v>49</v>
      </c>
      <c r="H194" s="4" t="s">
        <v>50</v>
      </c>
      <c r="I194" s="4"/>
      <c r="J194" s="4"/>
      <c r="K194" s="4">
        <v>202</v>
      </c>
      <c r="L194" s="4">
        <v>2</v>
      </c>
      <c r="M194" s="4">
        <v>1</v>
      </c>
      <c r="N194" s="4" t="s">
        <v>6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322118.77</v>
      </c>
      <c r="X194" s="4">
        <v>1</v>
      </c>
      <c r="Y194" s="4">
        <v>322118.77</v>
      </c>
      <c r="Z194" s="4"/>
      <c r="AA194" s="4"/>
      <c r="AB194" s="4"/>
    </row>
    <row r="195" spans="1:28">
      <c r="A195" s="4">
        <v>50</v>
      </c>
      <c r="B195" s="4">
        <v>0</v>
      </c>
      <c r="C195" s="4">
        <v>0</v>
      </c>
      <c r="D195" s="4">
        <v>1</v>
      </c>
      <c r="E195" s="4">
        <v>222</v>
      </c>
      <c r="F195" s="4">
        <f>ROUND(Source!AO191,O195)</f>
        <v>0</v>
      </c>
      <c r="G195" s="4" t="s">
        <v>51</v>
      </c>
      <c r="H195" s="4" t="s">
        <v>52</v>
      </c>
      <c r="I195" s="4"/>
      <c r="J195" s="4"/>
      <c r="K195" s="4">
        <v>222</v>
      </c>
      <c r="L195" s="4">
        <v>3</v>
      </c>
      <c r="M195" s="4">
        <v>3</v>
      </c>
      <c r="N195" s="4" t="s">
        <v>6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>
      <c r="A196" s="4">
        <v>50</v>
      </c>
      <c r="B196" s="4">
        <v>0</v>
      </c>
      <c r="C196" s="4">
        <v>0</v>
      </c>
      <c r="D196" s="4">
        <v>1</v>
      </c>
      <c r="E196" s="4">
        <v>225</v>
      </c>
      <c r="F196" s="4">
        <f>ROUND(Source!AV191,O196)</f>
        <v>322118.77</v>
      </c>
      <c r="G196" s="4" t="s">
        <v>53</v>
      </c>
      <c r="H196" s="4" t="s">
        <v>54</v>
      </c>
      <c r="I196" s="4"/>
      <c r="J196" s="4"/>
      <c r="K196" s="4">
        <v>225</v>
      </c>
      <c r="L196" s="4">
        <v>4</v>
      </c>
      <c r="M196" s="4">
        <v>3</v>
      </c>
      <c r="N196" s="4" t="s">
        <v>6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322118.77</v>
      </c>
      <c r="X196" s="4">
        <v>1</v>
      </c>
      <c r="Y196" s="4">
        <v>322118.77</v>
      </c>
      <c r="Z196" s="4"/>
      <c r="AA196" s="4"/>
      <c r="AB196" s="4"/>
    </row>
    <row r="197" spans="1:28">
      <c r="A197" s="4">
        <v>50</v>
      </c>
      <c r="B197" s="4">
        <v>0</v>
      </c>
      <c r="C197" s="4">
        <v>0</v>
      </c>
      <c r="D197" s="4">
        <v>1</v>
      </c>
      <c r="E197" s="4">
        <v>226</v>
      </c>
      <c r="F197" s="4">
        <f>ROUND(Source!AW191,O197)</f>
        <v>322118.77</v>
      </c>
      <c r="G197" s="4" t="s">
        <v>55</v>
      </c>
      <c r="H197" s="4" t="s">
        <v>56</v>
      </c>
      <c r="I197" s="4"/>
      <c r="J197" s="4"/>
      <c r="K197" s="4">
        <v>226</v>
      </c>
      <c r="L197" s="4">
        <v>5</v>
      </c>
      <c r="M197" s="4">
        <v>3</v>
      </c>
      <c r="N197" s="4" t="s">
        <v>6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322118.77</v>
      </c>
      <c r="X197" s="4">
        <v>1</v>
      </c>
      <c r="Y197" s="4">
        <v>322118.77</v>
      </c>
      <c r="Z197" s="4"/>
      <c r="AA197" s="4"/>
      <c r="AB197" s="4"/>
    </row>
    <row r="198" spans="1:28">
      <c r="A198" s="4">
        <v>50</v>
      </c>
      <c r="B198" s="4">
        <v>0</v>
      </c>
      <c r="C198" s="4">
        <v>0</v>
      </c>
      <c r="D198" s="4">
        <v>1</v>
      </c>
      <c r="E198" s="4">
        <v>227</v>
      </c>
      <c r="F198" s="4">
        <f>ROUND(Source!AX191,O198)</f>
        <v>0</v>
      </c>
      <c r="G198" s="4" t="s">
        <v>57</v>
      </c>
      <c r="H198" s="4" t="s">
        <v>58</v>
      </c>
      <c r="I198" s="4"/>
      <c r="J198" s="4"/>
      <c r="K198" s="4">
        <v>227</v>
      </c>
      <c r="L198" s="4">
        <v>6</v>
      </c>
      <c r="M198" s="4">
        <v>3</v>
      </c>
      <c r="N198" s="4" t="s">
        <v>6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>
      <c r="A199" s="4">
        <v>50</v>
      </c>
      <c r="B199" s="4">
        <v>0</v>
      </c>
      <c r="C199" s="4">
        <v>0</v>
      </c>
      <c r="D199" s="4">
        <v>1</v>
      </c>
      <c r="E199" s="4">
        <v>228</v>
      </c>
      <c r="F199" s="4">
        <f>ROUND(Source!AY191,O199)</f>
        <v>322118.77</v>
      </c>
      <c r="G199" s="4" t="s">
        <v>59</v>
      </c>
      <c r="H199" s="4" t="s">
        <v>60</v>
      </c>
      <c r="I199" s="4"/>
      <c r="J199" s="4"/>
      <c r="K199" s="4">
        <v>228</v>
      </c>
      <c r="L199" s="4">
        <v>7</v>
      </c>
      <c r="M199" s="4">
        <v>3</v>
      </c>
      <c r="N199" s="4" t="s">
        <v>6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322118.77</v>
      </c>
      <c r="X199" s="4">
        <v>1</v>
      </c>
      <c r="Y199" s="4">
        <v>322118.77</v>
      </c>
      <c r="Z199" s="4"/>
      <c r="AA199" s="4"/>
      <c r="AB199" s="4"/>
    </row>
    <row r="200" spans="1:28">
      <c r="A200" s="4">
        <v>50</v>
      </c>
      <c r="B200" s="4">
        <v>0</v>
      </c>
      <c r="C200" s="4">
        <v>0</v>
      </c>
      <c r="D200" s="4">
        <v>1</v>
      </c>
      <c r="E200" s="4">
        <v>216</v>
      </c>
      <c r="F200" s="4">
        <f>ROUND(Source!AP191,O200)</f>
        <v>0</v>
      </c>
      <c r="G200" s="4" t="s">
        <v>61</v>
      </c>
      <c r="H200" s="4" t="s">
        <v>62</v>
      </c>
      <c r="I200" s="4"/>
      <c r="J200" s="4"/>
      <c r="K200" s="4">
        <v>216</v>
      </c>
      <c r="L200" s="4">
        <v>8</v>
      </c>
      <c r="M200" s="4">
        <v>3</v>
      </c>
      <c r="N200" s="4" t="s">
        <v>6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>
      <c r="A201" s="4">
        <v>50</v>
      </c>
      <c r="B201" s="4">
        <v>0</v>
      </c>
      <c r="C201" s="4">
        <v>0</v>
      </c>
      <c r="D201" s="4">
        <v>1</v>
      </c>
      <c r="E201" s="4">
        <v>223</v>
      </c>
      <c r="F201" s="4">
        <f>ROUND(Source!AQ191,O201)</f>
        <v>0</v>
      </c>
      <c r="G201" s="4" t="s">
        <v>63</v>
      </c>
      <c r="H201" s="4" t="s">
        <v>64</v>
      </c>
      <c r="I201" s="4"/>
      <c r="J201" s="4"/>
      <c r="K201" s="4">
        <v>223</v>
      </c>
      <c r="L201" s="4">
        <v>9</v>
      </c>
      <c r="M201" s="4">
        <v>3</v>
      </c>
      <c r="N201" s="4" t="s">
        <v>6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>
      <c r="A202" s="4">
        <v>50</v>
      </c>
      <c r="B202" s="4">
        <v>0</v>
      </c>
      <c r="C202" s="4">
        <v>0</v>
      </c>
      <c r="D202" s="4">
        <v>1</v>
      </c>
      <c r="E202" s="4">
        <v>229</v>
      </c>
      <c r="F202" s="4">
        <f>ROUND(Source!AZ191,O202)</f>
        <v>0</v>
      </c>
      <c r="G202" s="4" t="s">
        <v>65</v>
      </c>
      <c r="H202" s="4" t="s">
        <v>66</v>
      </c>
      <c r="I202" s="4"/>
      <c r="J202" s="4"/>
      <c r="K202" s="4">
        <v>229</v>
      </c>
      <c r="L202" s="4">
        <v>10</v>
      </c>
      <c r="M202" s="4">
        <v>3</v>
      </c>
      <c r="N202" s="4" t="s">
        <v>6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>
      <c r="A203" s="4">
        <v>50</v>
      </c>
      <c r="B203" s="4">
        <v>0</v>
      </c>
      <c r="C203" s="4">
        <v>0</v>
      </c>
      <c r="D203" s="4">
        <v>1</v>
      </c>
      <c r="E203" s="4">
        <v>203</v>
      </c>
      <c r="F203" s="4">
        <f>ROUND(Source!Q191,O203)</f>
        <v>0</v>
      </c>
      <c r="G203" s="4" t="s">
        <v>67</v>
      </c>
      <c r="H203" s="4" t="s">
        <v>68</v>
      </c>
      <c r="I203" s="4"/>
      <c r="J203" s="4"/>
      <c r="K203" s="4">
        <v>203</v>
      </c>
      <c r="L203" s="4">
        <v>11</v>
      </c>
      <c r="M203" s="4">
        <v>1</v>
      </c>
      <c r="N203" s="4" t="s">
        <v>6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>
      <c r="A204" s="4">
        <v>50</v>
      </c>
      <c r="B204" s="4">
        <v>0</v>
      </c>
      <c r="C204" s="4">
        <v>0</v>
      </c>
      <c r="D204" s="4">
        <v>1</v>
      </c>
      <c r="E204" s="4">
        <v>231</v>
      </c>
      <c r="F204" s="4">
        <f>ROUND(Source!BB191,O204)</f>
        <v>0</v>
      </c>
      <c r="G204" s="4" t="s">
        <v>69</v>
      </c>
      <c r="H204" s="4" t="s">
        <v>70</v>
      </c>
      <c r="I204" s="4"/>
      <c r="J204" s="4"/>
      <c r="K204" s="4">
        <v>231</v>
      </c>
      <c r="L204" s="4">
        <v>12</v>
      </c>
      <c r="M204" s="4">
        <v>3</v>
      </c>
      <c r="N204" s="4" t="s">
        <v>6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>
      <c r="A205" s="4">
        <v>50</v>
      </c>
      <c r="B205" s="4">
        <v>0</v>
      </c>
      <c r="C205" s="4">
        <v>0</v>
      </c>
      <c r="D205" s="4">
        <v>1</v>
      </c>
      <c r="E205" s="4">
        <v>204</v>
      </c>
      <c r="F205" s="4">
        <f>ROUND(Source!R191,O205)</f>
        <v>0</v>
      </c>
      <c r="G205" s="4" t="s">
        <v>71</v>
      </c>
      <c r="H205" s="4" t="s">
        <v>72</v>
      </c>
      <c r="I205" s="4"/>
      <c r="J205" s="4"/>
      <c r="K205" s="4">
        <v>204</v>
      </c>
      <c r="L205" s="4">
        <v>13</v>
      </c>
      <c r="M205" s="4">
        <v>1</v>
      </c>
      <c r="N205" s="4" t="s">
        <v>6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>
      <c r="A206" s="4">
        <v>50</v>
      </c>
      <c r="B206" s="4">
        <v>0</v>
      </c>
      <c r="C206" s="4">
        <v>0</v>
      </c>
      <c r="D206" s="4">
        <v>1</v>
      </c>
      <c r="E206" s="4">
        <v>205</v>
      </c>
      <c r="F206" s="4">
        <f>ROUND(Source!S191,O206)</f>
        <v>0</v>
      </c>
      <c r="G206" s="4" t="s">
        <v>73</v>
      </c>
      <c r="H206" s="4" t="s">
        <v>74</v>
      </c>
      <c r="I206" s="4"/>
      <c r="J206" s="4"/>
      <c r="K206" s="4">
        <v>205</v>
      </c>
      <c r="L206" s="4">
        <v>14</v>
      </c>
      <c r="M206" s="4">
        <v>1</v>
      </c>
      <c r="N206" s="4" t="s">
        <v>6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>
      <c r="A207" s="4">
        <v>50</v>
      </c>
      <c r="B207" s="4">
        <v>0</v>
      </c>
      <c r="C207" s="4">
        <v>0</v>
      </c>
      <c r="D207" s="4">
        <v>1</v>
      </c>
      <c r="E207" s="4">
        <v>232</v>
      </c>
      <c r="F207" s="4">
        <f>ROUND(Source!BC191,O207)</f>
        <v>0</v>
      </c>
      <c r="G207" s="4" t="s">
        <v>75</v>
      </c>
      <c r="H207" s="4" t="s">
        <v>76</v>
      </c>
      <c r="I207" s="4"/>
      <c r="J207" s="4"/>
      <c r="K207" s="4">
        <v>232</v>
      </c>
      <c r="L207" s="4">
        <v>15</v>
      </c>
      <c r="M207" s="4">
        <v>3</v>
      </c>
      <c r="N207" s="4" t="s">
        <v>6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>
      <c r="A208" s="4">
        <v>50</v>
      </c>
      <c r="B208" s="4">
        <v>0</v>
      </c>
      <c r="C208" s="4">
        <v>0</v>
      </c>
      <c r="D208" s="4">
        <v>1</v>
      </c>
      <c r="E208" s="4">
        <v>214</v>
      </c>
      <c r="F208" s="4">
        <f>ROUND(Source!AS191,O208)</f>
        <v>322118.77</v>
      </c>
      <c r="G208" s="4" t="s">
        <v>77</v>
      </c>
      <c r="H208" s="4" t="s">
        <v>78</v>
      </c>
      <c r="I208" s="4"/>
      <c r="J208" s="4"/>
      <c r="K208" s="4">
        <v>214</v>
      </c>
      <c r="L208" s="4">
        <v>16</v>
      </c>
      <c r="M208" s="4">
        <v>3</v>
      </c>
      <c r="N208" s="4" t="s">
        <v>6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322118.77</v>
      </c>
      <c r="X208" s="4">
        <v>1</v>
      </c>
      <c r="Y208" s="4">
        <v>322118.77</v>
      </c>
      <c r="Z208" s="4"/>
      <c r="AA208" s="4"/>
      <c r="AB208" s="4"/>
    </row>
    <row r="209" spans="1:28">
      <c r="A209" s="4">
        <v>50</v>
      </c>
      <c r="B209" s="4">
        <v>0</v>
      </c>
      <c r="C209" s="4">
        <v>0</v>
      </c>
      <c r="D209" s="4">
        <v>1</v>
      </c>
      <c r="E209" s="4">
        <v>215</v>
      </c>
      <c r="F209" s="4">
        <f>ROUND(Source!AT191,O209)</f>
        <v>0</v>
      </c>
      <c r="G209" s="4" t="s">
        <v>79</v>
      </c>
      <c r="H209" s="4" t="s">
        <v>80</v>
      </c>
      <c r="I209" s="4"/>
      <c r="J209" s="4"/>
      <c r="K209" s="4">
        <v>215</v>
      </c>
      <c r="L209" s="4">
        <v>17</v>
      </c>
      <c r="M209" s="4">
        <v>3</v>
      </c>
      <c r="N209" s="4" t="s">
        <v>6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>
      <c r="A210" s="4">
        <v>50</v>
      </c>
      <c r="B210" s="4">
        <v>0</v>
      </c>
      <c r="C210" s="4">
        <v>0</v>
      </c>
      <c r="D210" s="4">
        <v>1</v>
      </c>
      <c r="E210" s="4">
        <v>217</v>
      </c>
      <c r="F210" s="4">
        <f>ROUND(Source!AU191,O210)</f>
        <v>0</v>
      </c>
      <c r="G210" s="4" t="s">
        <v>81</v>
      </c>
      <c r="H210" s="4" t="s">
        <v>82</v>
      </c>
      <c r="I210" s="4"/>
      <c r="J210" s="4"/>
      <c r="K210" s="4">
        <v>217</v>
      </c>
      <c r="L210" s="4">
        <v>18</v>
      </c>
      <c r="M210" s="4">
        <v>3</v>
      </c>
      <c r="N210" s="4" t="s">
        <v>6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>
      <c r="A211" s="4">
        <v>50</v>
      </c>
      <c r="B211" s="4">
        <v>0</v>
      </c>
      <c r="C211" s="4">
        <v>0</v>
      </c>
      <c r="D211" s="4">
        <v>1</v>
      </c>
      <c r="E211" s="4">
        <v>230</v>
      </c>
      <c r="F211" s="4">
        <f>ROUND(Source!BA191,O211)</f>
        <v>0</v>
      </c>
      <c r="G211" s="4" t="s">
        <v>83</v>
      </c>
      <c r="H211" s="4" t="s">
        <v>84</v>
      </c>
      <c r="I211" s="4"/>
      <c r="J211" s="4"/>
      <c r="K211" s="4">
        <v>230</v>
      </c>
      <c r="L211" s="4">
        <v>19</v>
      </c>
      <c r="M211" s="4">
        <v>3</v>
      </c>
      <c r="N211" s="4" t="s">
        <v>6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>
      <c r="A212" s="4">
        <v>50</v>
      </c>
      <c r="B212" s="4">
        <v>0</v>
      </c>
      <c r="C212" s="4">
        <v>0</v>
      </c>
      <c r="D212" s="4">
        <v>1</v>
      </c>
      <c r="E212" s="4">
        <v>206</v>
      </c>
      <c r="F212" s="4">
        <f>ROUND(Source!T191,O212)</f>
        <v>0</v>
      </c>
      <c r="G212" s="4" t="s">
        <v>85</v>
      </c>
      <c r="H212" s="4" t="s">
        <v>86</v>
      </c>
      <c r="I212" s="4"/>
      <c r="J212" s="4"/>
      <c r="K212" s="4">
        <v>206</v>
      </c>
      <c r="L212" s="4">
        <v>20</v>
      </c>
      <c r="M212" s="4">
        <v>3</v>
      </c>
      <c r="N212" s="4" t="s">
        <v>6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>
      <c r="A213" s="4">
        <v>50</v>
      </c>
      <c r="B213" s="4">
        <v>0</v>
      </c>
      <c r="C213" s="4">
        <v>0</v>
      </c>
      <c r="D213" s="4">
        <v>1</v>
      </c>
      <c r="E213" s="4">
        <v>207</v>
      </c>
      <c r="F213" s="4">
        <f>Source!U191</f>
        <v>0</v>
      </c>
      <c r="G213" s="4" t="s">
        <v>87</v>
      </c>
      <c r="H213" s="4" t="s">
        <v>88</v>
      </c>
      <c r="I213" s="4"/>
      <c r="J213" s="4"/>
      <c r="K213" s="4">
        <v>207</v>
      </c>
      <c r="L213" s="4">
        <v>21</v>
      </c>
      <c r="M213" s="4">
        <v>3</v>
      </c>
      <c r="N213" s="4" t="s">
        <v>6</v>
      </c>
      <c r="O213" s="4">
        <v>-1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>
      <c r="A214" s="4">
        <v>50</v>
      </c>
      <c r="B214" s="4">
        <v>0</v>
      </c>
      <c r="C214" s="4">
        <v>0</v>
      </c>
      <c r="D214" s="4">
        <v>1</v>
      </c>
      <c r="E214" s="4">
        <v>208</v>
      </c>
      <c r="F214" s="4">
        <f>Source!V191</f>
        <v>0</v>
      </c>
      <c r="G214" s="4" t="s">
        <v>89</v>
      </c>
      <c r="H214" s="4" t="s">
        <v>90</v>
      </c>
      <c r="I214" s="4"/>
      <c r="J214" s="4"/>
      <c r="K214" s="4">
        <v>208</v>
      </c>
      <c r="L214" s="4">
        <v>22</v>
      </c>
      <c r="M214" s="4">
        <v>3</v>
      </c>
      <c r="N214" s="4" t="s">
        <v>6</v>
      </c>
      <c r="O214" s="4">
        <v>-1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>
      <c r="A215" s="4">
        <v>50</v>
      </c>
      <c r="B215" s="4">
        <v>0</v>
      </c>
      <c r="C215" s="4">
        <v>0</v>
      </c>
      <c r="D215" s="4">
        <v>1</v>
      </c>
      <c r="E215" s="4">
        <v>209</v>
      </c>
      <c r="F215" s="4">
        <f>ROUND(Source!W191,O215)</f>
        <v>0</v>
      </c>
      <c r="G215" s="4" t="s">
        <v>91</v>
      </c>
      <c r="H215" s="4" t="s">
        <v>92</v>
      </c>
      <c r="I215" s="4"/>
      <c r="J215" s="4"/>
      <c r="K215" s="4">
        <v>209</v>
      </c>
      <c r="L215" s="4">
        <v>23</v>
      </c>
      <c r="M215" s="4">
        <v>3</v>
      </c>
      <c r="N215" s="4" t="s">
        <v>6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>
      <c r="A216" s="4">
        <v>50</v>
      </c>
      <c r="B216" s="4">
        <v>0</v>
      </c>
      <c r="C216" s="4">
        <v>0</v>
      </c>
      <c r="D216" s="4">
        <v>1</v>
      </c>
      <c r="E216" s="4">
        <v>233</v>
      </c>
      <c r="F216" s="4">
        <f>ROUND(Source!BD191,O216)</f>
        <v>0</v>
      </c>
      <c r="G216" s="4" t="s">
        <v>93</v>
      </c>
      <c r="H216" s="4" t="s">
        <v>94</v>
      </c>
      <c r="I216" s="4"/>
      <c r="J216" s="4"/>
      <c r="K216" s="4">
        <v>233</v>
      </c>
      <c r="L216" s="4">
        <v>24</v>
      </c>
      <c r="M216" s="4">
        <v>3</v>
      </c>
      <c r="N216" s="4" t="s">
        <v>6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>
      <c r="A217" s="4">
        <v>50</v>
      </c>
      <c r="B217" s="4">
        <v>0</v>
      </c>
      <c r="C217" s="4">
        <v>0</v>
      </c>
      <c r="D217" s="4">
        <v>1</v>
      </c>
      <c r="E217" s="4">
        <v>210</v>
      </c>
      <c r="F217" s="4">
        <f>ROUND(Source!X191,O217)</f>
        <v>0</v>
      </c>
      <c r="G217" s="4" t="s">
        <v>95</v>
      </c>
      <c r="H217" s="4" t="s">
        <v>96</v>
      </c>
      <c r="I217" s="4"/>
      <c r="J217" s="4"/>
      <c r="K217" s="4">
        <v>210</v>
      </c>
      <c r="L217" s="4">
        <v>25</v>
      </c>
      <c r="M217" s="4">
        <v>1</v>
      </c>
      <c r="N217" s="4" t="s">
        <v>6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>
      <c r="A218" s="4">
        <v>50</v>
      </c>
      <c r="B218" s="4">
        <v>0</v>
      </c>
      <c r="C218" s="4">
        <v>0</v>
      </c>
      <c r="D218" s="4">
        <v>1</v>
      </c>
      <c r="E218" s="4">
        <v>211</v>
      </c>
      <c r="F218" s="4">
        <f>ROUND(Source!Y191,O218)</f>
        <v>0</v>
      </c>
      <c r="G218" s="4" t="s">
        <v>97</v>
      </c>
      <c r="H218" s="4" t="s">
        <v>98</v>
      </c>
      <c r="I218" s="4"/>
      <c r="J218" s="4"/>
      <c r="K218" s="4">
        <v>211</v>
      </c>
      <c r="L218" s="4">
        <v>26</v>
      </c>
      <c r="M218" s="4">
        <v>1</v>
      </c>
      <c r="N218" s="4" t="s">
        <v>6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>
      <c r="A219" s="4">
        <v>50</v>
      </c>
      <c r="B219" s="4">
        <v>1</v>
      </c>
      <c r="C219" s="4">
        <v>0</v>
      </c>
      <c r="D219" s="4">
        <v>1</v>
      </c>
      <c r="E219" s="4">
        <v>224</v>
      </c>
      <c r="F219" s="4">
        <f>ROUND(Source!AR191,O219)</f>
        <v>322118.77</v>
      </c>
      <c r="G219" s="4" t="s">
        <v>99</v>
      </c>
      <c r="H219" s="4" t="s">
        <v>100</v>
      </c>
      <c r="I219" s="4"/>
      <c r="J219" s="4"/>
      <c r="K219" s="4">
        <v>224</v>
      </c>
      <c r="L219" s="4">
        <v>27</v>
      </c>
      <c r="M219" s="4">
        <v>1</v>
      </c>
      <c r="N219" s="4" t="s">
        <v>6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322118.77</v>
      </c>
      <c r="X219" s="4">
        <v>1</v>
      </c>
      <c r="Y219" s="4">
        <v>322118.77</v>
      </c>
      <c r="Z219" s="4"/>
      <c r="AA219" s="4"/>
      <c r="AB219" s="4"/>
    </row>
    <row r="220" spans="1:28">
      <c r="A220" s="4">
        <v>50</v>
      </c>
      <c r="B220" s="4">
        <v>0</v>
      </c>
      <c r="C220" s="4">
        <v>0</v>
      </c>
      <c r="D220" s="4">
        <v>2</v>
      </c>
      <c r="E220" s="4">
        <v>0</v>
      </c>
      <c r="F220" s="4">
        <f>0</f>
        <v>0</v>
      </c>
      <c r="G220" s="4" t="s">
        <v>101</v>
      </c>
      <c r="H220" s="4" t="s">
        <v>102</v>
      </c>
      <c r="I220" s="4"/>
      <c r="J220" s="4"/>
      <c r="K220" s="4">
        <v>212</v>
      </c>
      <c r="L220" s="4">
        <v>28</v>
      </c>
      <c r="M220" s="4">
        <v>1</v>
      </c>
      <c r="N220" s="4" t="s">
        <v>6</v>
      </c>
      <c r="O220" s="4">
        <v>-1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>
      <c r="A221" s="4">
        <v>50</v>
      </c>
      <c r="B221" s="4">
        <v>0</v>
      </c>
      <c r="C221" s="4">
        <v>0</v>
      </c>
      <c r="D221" s="4">
        <v>2</v>
      </c>
      <c r="E221" s="4">
        <v>0</v>
      </c>
      <c r="F221" s="4">
        <f>ROUND(IF(F220=0,0,F219/100*F220),O221)</f>
        <v>0</v>
      </c>
      <c r="G221" s="4" t="s">
        <v>103</v>
      </c>
      <c r="H221" s="4" t="s">
        <v>104</v>
      </c>
      <c r="I221" s="4"/>
      <c r="J221" s="4"/>
      <c r="K221" s="4">
        <v>212</v>
      </c>
      <c r="L221" s="4">
        <v>29</v>
      </c>
      <c r="M221" s="4">
        <v>1</v>
      </c>
      <c r="N221" s="4" t="s">
        <v>6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>
      <c r="A222" s="4">
        <v>50</v>
      </c>
      <c r="B222" s="4">
        <v>0</v>
      </c>
      <c r="C222" s="4">
        <v>0</v>
      </c>
      <c r="D222" s="4">
        <v>2</v>
      </c>
      <c r="E222" s="4">
        <v>0</v>
      </c>
      <c r="F222" s="4">
        <f>ROUND(IF(F220=0,0,F219+F221),O222)</f>
        <v>0</v>
      </c>
      <c r="G222" s="4" t="s">
        <v>105</v>
      </c>
      <c r="H222" s="4" t="s">
        <v>106</v>
      </c>
      <c r="I222" s="4"/>
      <c r="J222" s="4"/>
      <c r="K222" s="4">
        <v>212</v>
      </c>
      <c r="L222" s="4">
        <v>30</v>
      </c>
      <c r="M222" s="4">
        <v>1</v>
      </c>
      <c r="N222" s="4" t="s">
        <v>6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>
      <c r="A223" s="4">
        <v>50</v>
      </c>
      <c r="B223" s="4">
        <v>0</v>
      </c>
      <c r="C223" s="4">
        <v>0</v>
      </c>
      <c r="D223" s="4">
        <v>2</v>
      </c>
      <c r="E223" s="4">
        <v>0</v>
      </c>
      <c r="F223" s="4">
        <f>0</f>
        <v>0</v>
      </c>
      <c r="G223" s="4" t="s">
        <v>107</v>
      </c>
      <c r="H223" s="4" t="s">
        <v>108</v>
      </c>
      <c r="I223" s="4"/>
      <c r="J223" s="4"/>
      <c r="K223" s="4">
        <v>212</v>
      </c>
      <c r="L223" s="4">
        <v>31</v>
      </c>
      <c r="M223" s="4">
        <v>1</v>
      </c>
      <c r="N223" s="4" t="s">
        <v>6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>
      <c r="A224" s="4">
        <v>50</v>
      </c>
      <c r="B224" s="4">
        <v>0</v>
      </c>
      <c r="C224" s="4">
        <v>0</v>
      </c>
      <c r="D224" s="4">
        <v>2</v>
      </c>
      <c r="E224" s="4">
        <v>0</v>
      </c>
      <c r="F224" s="4">
        <f>ROUND(IF(F223=0,0,(F219+F221)/100*F223),O224)</f>
        <v>0</v>
      </c>
      <c r="G224" s="4" t="s">
        <v>109</v>
      </c>
      <c r="H224" s="4" t="s">
        <v>110</v>
      </c>
      <c r="I224" s="4"/>
      <c r="J224" s="4"/>
      <c r="K224" s="4">
        <v>212</v>
      </c>
      <c r="L224" s="4">
        <v>32</v>
      </c>
      <c r="M224" s="4">
        <v>1</v>
      </c>
      <c r="N224" s="4" t="s">
        <v>6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>
      <c r="A225" s="4">
        <v>50</v>
      </c>
      <c r="B225" s="4">
        <v>0</v>
      </c>
      <c r="C225" s="4">
        <v>0</v>
      </c>
      <c r="D225" s="4">
        <v>2</v>
      </c>
      <c r="E225" s="4">
        <v>0</v>
      </c>
      <c r="F225" s="4">
        <f>ROUND(IF(F224=0,0,F219+F221+F224),O225)</f>
        <v>0</v>
      </c>
      <c r="G225" s="4" t="s">
        <v>111</v>
      </c>
      <c r="H225" s="4" t="s">
        <v>112</v>
      </c>
      <c r="I225" s="4"/>
      <c r="J225" s="4"/>
      <c r="K225" s="4">
        <v>212</v>
      </c>
      <c r="L225" s="4">
        <v>33</v>
      </c>
      <c r="M225" s="4">
        <v>1</v>
      </c>
      <c r="N225" s="4" t="s">
        <v>6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45">
      <c r="A226" s="4">
        <v>50</v>
      </c>
      <c r="B226" s="4">
        <v>0</v>
      </c>
      <c r="C226" s="4">
        <v>0</v>
      </c>
      <c r="D226" s="4">
        <v>2</v>
      </c>
      <c r="E226" s="4">
        <v>0</v>
      </c>
      <c r="F226" s="4">
        <f>0</f>
        <v>0</v>
      </c>
      <c r="G226" s="4" t="s">
        <v>113</v>
      </c>
      <c r="H226" s="4" t="s">
        <v>114</v>
      </c>
      <c r="I226" s="4"/>
      <c r="J226" s="4"/>
      <c r="K226" s="4">
        <v>212</v>
      </c>
      <c r="L226" s="4">
        <v>34</v>
      </c>
      <c r="M226" s="4">
        <v>1</v>
      </c>
      <c r="N226" s="4" t="s">
        <v>6</v>
      </c>
      <c r="O226" s="4">
        <v>-1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45">
      <c r="A227" s="4">
        <v>50</v>
      </c>
      <c r="B227" s="4">
        <v>0</v>
      </c>
      <c r="C227" s="4">
        <v>0</v>
      </c>
      <c r="D227" s="4">
        <v>2</v>
      </c>
      <c r="E227" s="4">
        <v>0</v>
      </c>
      <c r="F227" s="4">
        <f>ROUND(IF(F226=0,0,(F219+F221+F224)/100*F226),O227)</f>
        <v>0</v>
      </c>
      <c r="G227" s="4" t="s">
        <v>115</v>
      </c>
      <c r="H227" s="4" t="s">
        <v>116</v>
      </c>
      <c r="I227" s="4"/>
      <c r="J227" s="4"/>
      <c r="K227" s="4">
        <v>212</v>
      </c>
      <c r="L227" s="4">
        <v>35</v>
      </c>
      <c r="M227" s="4">
        <v>1</v>
      </c>
      <c r="N227" s="4" t="s">
        <v>6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45">
      <c r="A228" s="4">
        <v>50</v>
      </c>
      <c r="B228" s="4">
        <v>0</v>
      </c>
      <c r="C228" s="4">
        <v>0</v>
      </c>
      <c r="D228" s="4">
        <v>2</v>
      </c>
      <c r="E228" s="4">
        <v>0</v>
      </c>
      <c r="F228" s="4">
        <f>ROUND(IF(F227=0,0,F219+F221+F224+F227),O228)</f>
        <v>0</v>
      </c>
      <c r="G228" s="4" t="s">
        <v>117</v>
      </c>
      <c r="H228" s="4" t="s">
        <v>118</v>
      </c>
      <c r="I228" s="4"/>
      <c r="J228" s="4"/>
      <c r="K228" s="4">
        <v>212</v>
      </c>
      <c r="L228" s="4">
        <v>36</v>
      </c>
      <c r="M228" s="4">
        <v>1</v>
      </c>
      <c r="N228" s="4" t="s">
        <v>6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45">
      <c r="A229" s="4">
        <v>50</v>
      </c>
      <c r="B229" s="4">
        <v>0</v>
      </c>
      <c r="C229" s="4">
        <v>0</v>
      </c>
      <c r="D229" s="4">
        <v>2</v>
      </c>
      <c r="E229" s="4">
        <v>0</v>
      </c>
      <c r="F229" s="4">
        <f>ROUND(ROUND(F219+F221+F224+F227,2),O229)</f>
        <v>322118.77</v>
      </c>
      <c r="G229" s="4" t="s">
        <v>119</v>
      </c>
      <c r="H229" s="4" t="s">
        <v>120</v>
      </c>
      <c r="I229" s="4"/>
      <c r="J229" s="4"/>
      <c r="K229" s="4">
        <v>212</v>
      </c>
      <c r="L229" s="4">
        <v>37</v>
      </c>
      <c r="M229" s="4">
        <v>3</v>
      </c>
      <c r="N229" s="4" t="s">
        <v>6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322118.77</v>
      </c>
      <c r="X229" s="4">
        <v>1</v>
      </c>
      <c r="Y229" s="4">
        <v>322118.77</v>
      </c>
      <c r="Z229" s="4"/>
      <c r="AA229" s="4"/>
      <c r="AB229" s="4"/>
    </row>
    <row r="230" spans="1:245">
      <c r="A230" s="4">
        <v>50</v>
      </c>
      <c r="B230" s="4">
        <v>1</v>
      </c>
      <c r="C230" s="4">
        <v>0</v>
      </c>
      <c r="D230" s="4">
        <v>2</v>
      </c>
      <c r="E230" s="4">
        <v>0</v>
      </c>
      <c r="F230" s="4">
        <f>ROUND(ROUND(F229*0.2,2),O230)</f>
        <v>64423.75</v>
      </c>
      <c r="G230" s="4" t="s">
        <v>121</v>
      </c>
      <c r="H230" s="4" t="s">
        <v>122</v>
      </c>
      <c r="I230" s="4"/>
      <c r="J230" s="4"/>
      <c r="K230" s="4">
        <v>212</v>
      </c>
      <c r="L230" s="4">
        <v>38</v>
      </c>
      <c r="M230" s="4">
        <v>1</v>
      </c>
      <c r="N230" s="4" t="s">
        <v>6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64423.75</v>
      </c>
      <c r="X230" s="4">
        <v>1</v>
      </c>
      <c r="Y230" s="4">
        <v>64423.75</v>
      </c>
      <c r="Z230" s="4"/>
      <c r="AA230" s="4"/>
      <c r="AB230" s="4"/>
    </row>
    <row r="231" spans="1:245">
      <c r="A231" s="4">
        <v>50</v>
      </c>
      <c r="B231" s="4">
        <v>1</v>
      </c>
      <c r="C231" s="4">
        <v>0</v>
      </c>
      <c r="D231" s="4">
        <v>2</v>
      </c>
      <c r="E231" s="4">
        <v>213</v>
      </c>
      <c r="F231" s="4">
        <f>ROUND(ROUND(F229+F230,2),O231)</f>
        <v>386542.52</v>
      </c>
      <c r="G231" s="4" t="s">
        <v>123</v>
      </c>
      <c r="H231" s="4" t="s">
        <v>124</v>
      </c>
      <c r="I231" s="4"/>
      <c r="J231" s="4"/>
      <c r="K231" s="4">
        <v>212</v>
      </c>
      <c r="L231" s="4">
        <v>39</v>
      </c>
      <c r="M231" s="4">
        <v>1</v>
      </c>
      <c r="N231" s="4" t="s">
        <v>6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386542.52</v>
      </c>
      <c r="X231" s="4">
        <v>1</v>
      </c>
      <c r="Y231" s="4">
        <v>386542.52</v>
      </c>
      <c r="Z231" s="4"/>
      <c r="AA231" s="4"/>
      <c r="AB231" s="4"/>
    </row>
    <row r="233" spans="1:245">
      <c r="A233" s="1">
        <v>4</v>
      </c>
      <c r="B233" s="1">
        <v>1</v>
      </c>
      <c r="C233" s="1"/>
      <c r="D233" s="1">
        <f>ROW(A256)</f>
        <v>256</v>
      </c>
      <c r="E233" s="1"/>
      <c r="F233" s="1" t="s">
        <v>15</v>
      </c>
      <c r="G233" s="1" t="s">
        <v>158</v>
      </c>
      <c r="H233" s="1" t="s">
        <v>6</v>
      </c>
      <c r="I233" s="1">
        <v>0</v>
      </c>
      <c r="J233" s="1"/>
      <c r="K233" s="1">
        <v>0</v>
      </c>
      <c r="L233" s="1"/>
      <c r="M233" s="1" t="s">
        <v>6</v>
      </c>
      <c r="N233" s="1"/>
      <c r="O233" s="1"/>
      <c r="P233" s="1"/>
      <c r="Q233" s="1"/>
      <c r="R233" s="1"/>
      <c r="S233" s="1">
        <v>0</v>
      </c>
      <c r="T233" s="1"/>
      <c r="U233" s="1" t="s">
        <v>6</v>
      </c>
      <c r="V233" s="1">
        <v>0</v>
      </c>
      <c r="W233" s="1"/>
      <c r="X233" s="1"/>
      <c r="Y233" s="1"/>
      <c r="Z233" s="1"/>
      <c r="AA233" s="1"/>
      <c r="AB233" s="1" t="s">
        <v>6</v>
      </c>
      <c r="AC233" s="1" t="s">
        <v>6</v>
      </c>
      <c r="AD233" s="1" t="s">
        <v>6</v>
      </c>
      <c r="AE233" s="1" t="s">
        <v>6</v>
      </c>
      <c r="AF233" s="1" t="s">
        <v>6</v>
      </c>
      <c r="AG233" s="1" t="s">
        <v>6</v>
      </c>
      <c r="AH233" s="1"/>
      <c r="AI233" s="1"/>
      <c r="AJ233" s="1"/>
      <c r="AK233" s="1"/>
      <c r="AL233" s="1"/>
      <c r="AM233" s="1"/>
      <c r="AN233" s="1"/>
      <c r="AO233" s="1"/>
      <c r="AP233" s="1" t="s">
        <v>6</v>
      </c>
      <c r="AQ233" s="1" t="s">
        <v>6</v>
      </c>
      <c r="AR233" s="1" t="s">
        <v>6</v>
      </c>
      <c r="AS233" s="1"/>
      <c r="AT233" s="1"/>
      <c r="AU233" s="1"/>
      <c r="AV233" s="1"/>
      <c r="AW233" s="1"/>
      <c r="AX233" s="1"/>
      <c r="AY233" s="1"/>
      <c r="AZ233" s="1" t="s">
        <v>6</v>
      </c>
      <c r="BA233" s="1"/>
      <c r="BB233" s="1" t="s">
        <v>6</v>
      </c>
      <c r="BC233" s="1" t="s">
        <v>6</v>
      </c>
      <c r="BD233" s="1" t="s">
        <v>6</v>
      </c>
      <c r="BE233" s="1" t="s">
        <v>6</v>
      </c>
      <c r="BF233" s="1" t="s">
        <v>6</v>
      </c>
      <c r="BG233" s="1" t="s">
        <v>6</v>
      </c>
      <c r="BH233" s="1" t="s">
        <v>6</v>
      </c>
      <c r="BI233" s="1" t="s">
        <v>6</v>
      </c>
      <c r="BJ233" s="1" t="s">
        <v>6</v>
      </c>
      <c r="BK233" s="1" t="s">
        <v>6</v>
      </c>
      <c r="BL233" s="1" t="s">
        <v>6</v>
      </c>
      <c r="BM233" s="1" t="s">
        <v>6</v>
      </c>
      <c r="BN233" s="1" t="s">
        <v>6</v>
      </c>
      <c r="BO233" s="1" t="s">
        <v>6</v>
      </c>
      <c r="BP233" s="1" t="s">
        <v>6</v>
      </c>
      <c r="BQ233" s="1"/>
      <c r="BR233" s="1"/>
      <c r="BS233" s="1"/>
      <c r="BT233" s="1"/>
      <c r="BU233" s="1"/>
      <c r="BV233" s="1"/>
      <c r="BW233" s="1"/>
      <c r="BX233" s="1">
        <v>0</v>
      </c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>
        <v>0</v>
      </c>
    </row>
    <row r="235" spans="1:245">
      <c r="A235" s="2">
        <v>52</v>
      </c>
      <c r="B235" s="2">
        <f t="shared" ref="B235:G235" si="103">B256</f>
        <v>1</v>
      </c>
      <c r="C235" s="2">
        <f t="shared" si="103"/>
        <v>4</v>
      </c>
      <c r="D235" s="2">
        <f t="shared" si="103"/>
        <v>233</v>
      </c>
      <c r="E235" s="2">
        <f t="shared" si="103"/>
        <v>0</v>
      </c>
      <c r="F235" s="2" t="str">
        <f t="shared" si="103"/>
        <v>Новый раздел</v>
      </c>
      <c r="G235" s="2" t="str">
        <f t="shared" si="103"/>
        <v>Узел учета в КТП</v>
      </c>
      <c r="H235" s="2"/>
      <c r="I235" s="2"/>
      <c r="J235" s="2"/>
      <c r="K235" s="2"/>
      <c r="L235" s="2"/>
      <c r="M235" s="2"/>
      <c r="N235" s="2"/>
      <c r="O235" s="2">
        <f t="shared" ref="O235:AT235" si="104">O256</f>
        <v>51674.67</v>
      </c>
      <c r="P235" s="2">
        <f t="shared" si="104"/>
        <v>12828.5</v>
      </c>
      <c r="Q235" s="2">
        <f t="shared" si="104"/>
        <v>1836.93</v>
      </c>
      <c r="R235" s="2">
        <f t="shared" si="104"/>
        <v>671.18</v>
      </c>
      <c r="S235" s="2">
        <f t="shared" si="104"/>
        <v>36338.06</v>
      </c>
      <c r="T235" s="2">
        <f t="shared" si="104"/>
        <v>0</v>
      </c>
      <c r="U235" s="2">
        <f t="shared" si="104"/>
        <v>103.598</v>
      </c>
      <c r="V235" s="2">
        <f t="shared" si="104"/>
        <v>8.9239999999999995</v>
      </c>
      <c r="W235" s="2">
        <f t="shared" si="104"/>
        <v>0</v>
      </c>
      <c r="X235" s="2">
        <f t="shared" si="104"/>
        <v>34857.72</v>
      </c>
      <c r="Y235" s="2">
        <f t="shared" si="104"/>
        <v>18130.96</v>
      </c>
      <c r="Z235" s="2">
        <f t="shared" si="104"/>
        <v>0</v>
      </c>
      <c r="AA235" s="2">
        <f t="shared" si="104"/>
        <v>0</v>
      </c>
      <c r="AB235" s="2">
        <f t="shared" si="104"/>
        <v>51674.67</v>
      </c>
      <c r="AC235" s="2">
        <f t="shared" si="104"/>
        <v>12828.5</v>
      </c>
      <c r="AD235" s="2">
        <f t="shared" si="104"/>
        <v>1836.93</v>
      </c>
      <c r="AE235" s="2">
        <f t="shared" si="104"/>
        <v>671.18</v>
      </c>
      <c r="AF235" s="2">
        <f t="shared" si="104"/>
        <v>36338.06</v>
      </c>
      <c r="AG235" s="2">
        <f t="shared" si="104"/>
        <v>0</v>
      </c>
      <c r="AH235" s="2">
        <f t="shared" si="104"/>
        <v>103.598</v>
      </c>
      <c r="AI235" s="2">
        <f t="shared" si="104"/>
        <v>8.9239999999999995</v>
      </c>
      <c r="AJ235" s="2">
        <f t="shared" si="104"/>
        <v>0</v>
      </c>
      <c r="AK235" s="2">
        <f t="shared" si="104"/>
        <v>34857.72</v>
      </c>
      <c r="AL235" s="2">
        <f t="shared" si="104"/>
        <v>18130.96</v>
      </c>
      <c r="AM235" s="2">
        <f t="shared" si="104"/>
        <v>0</v>
      </c>
      <c r="AN235" s="2">
        <f t="shared" si="104"/>
        <v>0</v>
      </c>
      <c r="AO235" s="2">
        <f t="shared" si="104"/>
        <v>0</v>
      </c>
      <c r="AP235" s="2">
        <f t="shared" si="104"/>
        <v>0</v>
      </c>
      <c r="AQ235" s="2">
        <f t="shared" si="104"/>
        <v>0</v>
      </c>
      <c r="AR235" s="2">
        <f t="shared" si="104"/>
        <v>104663.35</v>
      </c>
      <c r="AS235" s="2">
        <f t="shared" si="104"/>
        <v>0</v>
      </c>
      <c r="AT235" s="2">
        <f t="shared" si="104"/>
        <v>103936.59</v>
      </c>
      <c r="AU235" s="2">
        <f t="shared" ref="AU235:BZ235" si="105">AU256</f>
        <v>726.76</v>
      </c>
      <c r="AV235" s="2">
        <f t="shared" si="105"/>
        <v>12828.5</v>
      </c>
      <c r="AW235" s="2">
        <f t="shared" si="105"/>
        <v>12828.5</v>
      </c>
      <c r="AX235" s="2">
        <f t="shared" si="105"/>
        <v>0</v>
      </c>
      <c r="AY235" s="2">
        <f t="shared" si="105"/>
        <v>12828.5</v>
      </c>
      <c r="AZ235" s="2">
        <f t="shared" si="105"/>
        <v>0</v>
      </c>
      <c r="BA235" s="2">
        <f t="shared" si="105"/>
        <v>0</v>
      </c>
      <c r="BB235" s="2">
        <f t="shared" si="105"/>
        <v>0</v>
      </c>
      <c r="BC235" s="2">
        <f t="shared" si="105"/>
        <v>0</v>
      </c>
      <c r="BD235" s="2">
        <f t="shared" si="105"/>
        <v>0</v>
      </c>
      <c r="BE235" s="2">
        <f t="shared" si="105"/>
        <v>0</v>
      </c>
      <c r="BF235" s="2">
        <f t="shared" si="105"/>
        <v>0</v>
      </c>
      <c r="BG235" s="2">
        <f t="shared" si="105"/>
        <v>0</v>
      </c>
      <c r="BH235" s="2">
        <f t="shared" si="105"/>
        <v>0</v>
      </c>
      <c r="BI235" s="2">
        <f t="shared" si="105"/>
        <v>0</v>
      </c>
      <c r="BJ235" s="2">
        <f t="shared" si="105"/>
        <v>0</v>
      </c>
      <c r="BK235" s="2">
        <f t="shared" si="105"/>
        <v>0</v>
      </c>
      <c r="BL235" s="2">
        <f t="shared" si="105"/>
        <v>0</v>
      </c>
      <c r="BM235" s="2">
        <f t="shared" si="105"/>
        <v>0</v>
      </c>
      <c r="BN235" s="2">
        <f t="shared" si="105"/>
        <v>0</v>
      </c>
      <c r="BO235" s="2">
        <f t="shared" si="105"/>
        <v>0</v>
      </c>
      <c r="BP235" s="2">
        <f t="shared" si="105"/>
        <v>0</v>
      </c>
      <c r="BQ235" s="2">
        <f t="shared" si="105"/>
        <v>0</v>
      </c>
      <c r="BR235" s="2">
        <f t="shared" si="105"/>
        <v>0</v>
      </c>
      <c r="BS235" s="2">
        <f t="shared" si="105"/>
        <v>0</v>
      </c>
      <c r="BT235" s="2">
        <f t="shared" si="105"/>
        <v>0</v>
      </c>
      <c r="BU235" s="2">
        <f t="shared" si="105"/>
        <v>0</v>
      </c>
      <c r="BV235" s="2">
        <f t="shared" si="105"/>
        <v>0</v>
      </c>
      <c r="BW235" s="2">
        <f t="shared" si="105"/>
        <v>0</v>
      </c>
      <c r="BX235" s="2">
        <f t="shared" si="105"/>
        <v>0</v>
      </c>
      <c r="BY235" s="2">
        <f t="shared" si="105"/>
        <v>0</v>
      </c>
      <c r="BZ235" s="2">
        <f t="shared" si="105"/>
        <v>0</v>
      </c>
      <c r="CA235" s="2">
        <f t="shared" ref="CA235:DF235" si="106">CA256</f>
        <v>104663.35</v>
      </c>
      <c r="CB235" s="2">
        <f t="shared" si="106"/>
        <v>0</v>
      </c>
      <c r="CC235" s="2">
        <f t="shared" si="106"/>
        <v>103936.59</v>
      </c>
      <c r="CD235" s="2">
        <f t="shared" si="106"/>
        <v>726.76</v>
      </c>
      <c r="CE235" s="2">
        <f t="shared" si="106"/>
        <v>12828.5</v>
      </c>
      <c r="CF235" s="2">
        <f t="shared" si="106"/>
        <v>12828.5</v>
      </c>
      <c r="CG235" s="2">
        <f t="shared" si="106"/>
        <v>0</v>
      </c>
      <c r="CH235" s="2">
        <f t="shared" si="106"/>
        <v>12828.5</v>
      </c>
      <c r="CI235" s="2">
        <f t="shared" si="106"/>
        <v>0</v>
      </c>
      <c r="CJ235" s="2">
        <f t="shared" si="106"/>
        <v>0</v>
      </c>
      <c r="CK235" s="2">
        <f t="shared" si="106"/>
        <v>0</v>
      </c>
      <c r="CL235" s="2">
        <f t="shared" si="106"/>
        <v>0</v>
      </c>
      <c r="CM235" s="2">
        <f t="shared" si="106"/>
        <v>0</v>
      </c>
      <c r="CN235" s="2">
        <f t="shared" si="106"/>
        <v>0</v>
      </c>
      <c r="CO235" s="2">
        <f t="shared" si="106"/>
        <v>0</v>
      </c>
      <c r="CP235" s="2">
        <f t="shared" si="106"/>
        <v>0</v>
      </c>
      <c r="CQ235" s="2">
        <f t="shared" si="106"/>
        <v>0</v>
      </c>
      <c r="CR235" s="2">
        <f t="shared" si="106"/>
        <v>0</v>
      </c>
      <c r="CS235" s="2">
        <f t="shared" si="106"/>
        <v>0</v>
      </c>
      <c r="CT235" s="2">
        <f t="shared" si="106"/>
        <v>0</v>
      </c>
      <c r="CU235" s="2">
        <f t="shared" si="106"/>
        <v>0</v>
      </c>
      <c r="CV235" s="2">
        <f t="shared" si="106"/>
        <v>0</v>
      </c>
      <c r="CW235" s="2">
        <f t="shared" si="106"/>
        <v>0</v>
      </c>
      <c r="CX235" s="2">
        <f t="shared" si="106"/>
        <v>0</v>
      </c>
      <c r="CY235" s="2">
        <f t="shared" si="106"/>
        <v>0</v>
      </c>
      <c r="CZ235" s="2">
        <f t="shared" si="106"/>
        <v>0</v>
      </c>
      <c r="DA235" s="2">
        <f t="shared" si="106"/>
        <v>0</v>
      </c>
      <c r="DB235" s="2">
        <f t="shared" si="106"/>
        <v>0</v>
      </c>
      <c r="DC235" s="2">
        <f t="shared" si="106"/>
        <v>0</v>
      </c>
      <c r="DD235" s="2">
        <f t="shared" si="106"/>
        <v>0</v>
      </c>
      <c r="DE235" s="2">
        <f t="shared" si="106"/>
        <v>0</v>
      </c>
      <c r="DF235" s="2">
        <f t="shared" si="106"/>
        <v>0</v>
      </c>
      <c r="DG235" s="3">
        <f t="shared" ref="DG235:EL235" si="107">DG256</f>
        <v>0</v>
      </c>
      <c r="DH235" s="3">
        <f t="shared" si="107"/>
        <v>0</v>
      </c>
      <c r="DI235" s="3">
        <f t="shared" si="107"/>
        <v>0</v>
      </c>
      <c r="DJ235" s="3">
        <f t="shared" si="107"/>
        <v>0</v>
      </c>
      <c r="DK235" s="3">
        <f t="shared" si="107"/>
        <v>0</v>
      </c>
      <c r="DL235" s="3">
        <f t="shared" si="107"/>
        <v>0</v>
      </c>
      <c r="DM235" s="3">
        <f t="shared" si="107"/>
        <v>0</v>
      </c>
      <c r="DN235" s="3">
        <f t="shared" si="107"/>
        <v>0</v>
      </c>
      <c r="DO235" s="3">
        <f t="shared" si="107"/>
        <v>0</v>
      </c>
      <c r="DP235" s="3">
        <f t="shared" si="107"/>
        <v>0</v>
      </c>
      <c r="DQ235" s="3">
        <f t="shared" si="107"/>
        <v>0</v>
      </c>
      <c r="DR235" s="3">
        <f t="shared" si="107"/>
        <v>0</v>
      </c>
      <c r="DS235" s="3">
        <f t="shared" si="107"/>
        <v>0</v>
      </c>
      <c r="DT235" s="3">
        <f t="shared" si="107"/>
        <v>0</v>
      </c>
      <c r="DU235" s="3">
        <f t="shared" si="107"/>
        <v>0</v>
      </c>
      <c r="DV235" s="3">
        <f t="shared" si="107"/>
        <v>0</v>
      </c>
      <c r="DW235" s="3">
        <f t="shared" si="107"/>
        <v>0</v>
      </c>
      <c r="DX235" s="3">
        <f t="shared" si="107"/>
        <v>0</v>
      </c>
      <c r="DY235" s="3">
        <f t="shared" si="107"/>
        <v>0</v>
      </c>
      <c r="DZ235" s="3">
        <f t="shared" si="107"/>
        <v>0</v>
      </c>
      <c r="EA235" s="3">
        <f t="shared" si="107"/>
        <v>0</v>
      </c>
      <c r="EB235" s="3">
        <f t="shared" si="107"/>
        <v>0</v>
      </c>
      <c r="EC235" s="3">
        <f t="shared" si="107"/>
        <v>0</v>
      </c>
      <c r="ED235" s="3">
        <f t="shared" si="107"/>
        <v>0</v>
      </c>
      <c r="EE235" s="3">
        <f t="shared" si="107"/>
        <v>0</v>
      </c>
      <c r="EF235" s="3">
        <f t="shared" si="107"/>
        <v>0</v>
      </c>
      <c r="EG235" s="3">
        <f t="shared" si="107"/>
        <v>0</v>
      </c>
      <c r="EH235" s="3">
        <f t="shared" si="107"/>
        <v>0</v>
      </c>
      <c r="EI235" s="3">
        <f t="shared" si="107"/>
        <v>0</v>
      </c>
      <c r="EJ235" s="3">
        <f t="shared" si="107"/>
        <v>0</v>
      </c>
      <c r="EK235" s="3">
        <f t="shared" si="107"/>
        <v>0</v>
      </c>
      <c r="EL235" s="3">
        <f t="shared" si="107"/>
        <v>0</v>
      </c>
      <c r="EM235" s="3">
        <f t="shared" ref="EM235:FR235" si="108">EM256</f>
        <v>0</v>
      </c>
      <c r="EN235" s="3">
        <f t="shared" si="108"/>
        <v>0</v>
      </c>
      <c r="EO235" s="3">
        <f t="shared" si="108"/>
        <v>0</v>
      </c>
      <c r="EP235" s="3">
        <f t="shared" si="108"/>
        <v>0</v>
      </c>
      <c r="EQ235" s="3">
        <f t="shared" si="108"/>
        <v>0</v>
      </c>
      <c r="ER235" s="3">
        <f t="shared" si="108"/>
        <v>0</v>
      </c>
      <c r="ES235" s="3">
        <f t="shared" si="108"/>
        <v>0</v>
      </c>
      <c r="ET235" s="3">
        <f t="shared" si="108"/>
        <v>0</v>
      </c>
      <c r="EU235" s="3">
        <f t="shared" si="108"/>
        <v>0</v>
      </c>
      <c r="EV235" s="3">
        <f t="shared" si="108"/>
        <v>0</v>
      </c>
      <c r="EW235" s="3">
        <f t="shared" si="108"/>
        <v>0</v>
      </c>
      <c r="EX235" s="3">
        <f t="shared" si="108"/>
        <v>0</v>
      </c>
      <c r="EY235" s="3">
        <f t="shared" si="108"/>
        <v>0</v>
      </c>
      <c r="EZ235" s="3">
        <f t="shared" si="108"/>
        <v>0</v>
      </c>
      <c r="FA235" s="3">
        <f t="shared" si="108"/>
        <v>0</v>
      </c>
      <c r="FB235" s="3">
        <f t="shared" si="108"/>
        <v>0</v>
      </c>
      <c r="FC235" s="3">
        <f t="shared" si="108"/>
        <v>0</v>
      </c>
      <c r="FD235" s="3">
        <f t="shared" si="108"/>
        <v>0</v>
      </c>
      <c r="FE235" s="3">
        <f t="shared" si="108"/>
        <v>0</v>
      </c>
      <c r="FF235" s="3">
        <f t="shared" si="108"/>
        <v>0</v>
      </c>
      <c r="FG235" s="3">
        <f t="shared" si="108"/>
        <v>0</v>
      </c>
      <c r="FH235" s="3">
        <f t="shared" si="108"/>
        <v>0</v>
      </c>
      <c r="FI235" s="3">
        <f t="shared" si="108"/>
        <v>0</v>
      </c>
      <c r="FJ235" s="3">
        <f t="shared" si="108"/>
        <v>0</v>
      </c>
      <c r="FK235" s="3">
        <f t="shared" si="108"/>
        <v>0</v>
      </c>
      <c r="FL235" s="3">
        <f t="shared" si="108"/>
        <v>0</v>
      </c>
      <c r="FM235" s="3">
        <f t="shared" si="108"/>
        <v>0</v>
      </c>
      <c r="FN235" s="3">
        <f t="shared" si="108"/>
        <v>0</v>
      </c>
      <c r="FO235" s="3">
        <f t="shared" si="108"/>
        <v>0</v>
      </c>
      <c r="FP235" s="3">
        <f t="shared" si="108"/>
        <v>0</v>
      </c>
      <c r="FQ235" s="3">
        <f t="shared" si="108"/>
        <v>0</v>
      </c>
      <c r="FR235" s="3">
        <f t="shared" si="108"/>
        <v>0</v>
      </c>
      <c r="FS235" s="3">
        <f t="shared" ref="FS235:GX235" si="109">FS256</f>
        <v>0</v>
      </c>
      <c r="FT235" s="3">
        <f t="shared" si="109"/>
        <v>0</v>
      </c>
      <c r="FU235" s="3">
        <f t="shared" si="109"/>
        <v>0</v>
      </c>
      <c r="FV235" s="3">
        <f t="shared" si="109"/>
        <v>0</v>
      </c>
      <c r="FW235" s="3">
        <f t="shared" si="109"/>
        <v>0</v>
      </c>
      <c r="FX235" s="3">
        <f t="shared" si="109"/>
        <v>0</v>
      </c>
      <c r="FY235" s="3">
        <f t="shared" si="109"/>
        <v>0</v>
      </c>
      <c r="FZ235" s="3">
        <f t="shared" si="109"/>
        <v>0</v>
      </c>
      <c r="GA235" s="3">
        <f t="shared" si="109"/>
        <v>0</v>
      </c>
      <c r="GB235" s="3">
        <f t="shared" si="109"/>
        <v>0</v>
      </c>
      <c r="GC235" s="3">
        <f t="shared" si="109"/>
        <v>0</v>
      </c>
      <c r="GD235" s="3">
        <f t="shared" si="109"/>
        <v>0</v>
      </c>
      <c r="GE235" s="3">
        <f t="shared" si="109"/>
        <v>0</v>
      </c>
      <c r="GF235" s="3">
        <f t="shared" si="109"/>
        <v>0</v>
      </c>
      <c r="GG235" s="3">
        <f t="shared" si="109"/>
        <v>0</v>
      </c>
      <c r="GH235" s="3">
        <f t="shared" si="109"/>
        <v>0</v>
      </c>
      <c r="GI235" s="3">
        <f t="shared" si="109"/>
        <v>0</v>
      </c>
      <c r="GJ235" s="3">
        <f t="shared" si="109"/>
        <v>0</v>
      </c>
      <c r="GK235" s="3">
        <f t="shared" si="109"/>
        <v>0</v>
      </c>
      <c r="GL235" s="3">
        <f t="shared" si="109"/>
        <v>0</v>
      </c>
      <c r="GM235" s="3">
        <f t="shared" si="109"/>
        <v>0</v>
      </c>
      <c r="GN235" s="3">
        <f t="shared" si="109"/>
        <v>0</v>
      </c>
      <c r="GO235" s="3">
        <f t="shared" si="109"/>
        <v>0</v>
      </c>
      <c r="GP235" s="3">
        <f t="shared" si="109"/>
        <v>0</v>
      </c>
      <c r="GQ235" s="3">
        <f t="shared" si="109"/>
        <v>0</v>
      </c>
      <c r="GR235" s="3">
        <f t="shared" si="109"/>
        <v>0</v>
      </c>
      <c r="GS235" s="3">
        <f t="shared" si="109"/>
        <v>0</v>
      </c>
      <c r="GT235" s="3">
        <f t="shared" si="109"/>
        <v>0</v>
      </c>
      <c r="GU235" s="3">
        <f t="shared" si="109"/>
        <v>0</v>
      </c>
      <c r="GV235" s="3">
        <f t="shared" si="109"/>
        <v>0</v>
      </c>
      <c r="GW235" s="3">
        <f t="shared" si="109"/>
        <v>0</v>
      </c>
      <c r="GX235" s="3">
        <f t="shared" si="109"/>
        <v>0</v>
      </c>
    </row>
    <row r="237" spans="1:245">
      <c r="A237">
        <v>17</v>
      </c>
      <c r="B237">
        <v>1</v>
      </c>
      <c r="C237">
        <f>ROW(SmtRes!A38)</f>
        <v>38</v>
      </c>
      <c r="D237">
        <f>ROW(EtalonRes!A38)</f>
        <v>38</v>
      </c>
      <c r="E237" t="s">
        <v>159</v>
      </c>
      <c r="F237" t="s">
        <v>160</v>
      </c>
      <c r="G237" t="s">
        <v>161</v>
      </c>
      <c r="H237" t="s">
        <v>20</v>
      </c>
      <c r="I237">
        <v>1</v>
      </c>
      <c r="J237">
        <v>0</v>
      </c>
      <c r="K237">
        <v>1</v>
      </c>
      <c r="O237">
        <f>ROUND(CP237,2)</f>
        <v>4684.8999999999996</v>
      </c>
      <c r="P237">
        <f>SUMIF(SmtRes!AQ29:'SmtRes'!AQ38,"=1",SmtRes!DF29:'SmtRes'!DF38)</f>
        <v>2997.86</v>
      </c>
      <c r="Q237">
        <f>SUMIF(SmtRes!AQ29:'SmtRes'!AQ38,"=1",SmtRes!DG29:'SmtRes'!DG38)</f>
        <v>537.80000000000007</v>
      </c>
      <c r="R237">
        <f>SUMIF(SmtRes!AQ29:'SmtRes'!AQ38,"=1",SmtRes!DH29:'SmtRes'!DH38)</f>
        <v>184.67000000000002</v>
      </c>
      <c r="S237">
        <f>SUMIF(SmtRes!AQ29:'SmtRes'!AQ38,"=1",SmtRes!DI29:'SmtRes'!DI38)</f>
        <v>964.57</v>
      </c>
      <c r="T237">
        <f t="shared" ref="T237:T254" si="110">ROUND(CU237*I237,2)</f>
        <v>0</v>
      </c>
      <c r="U237">
        <f>SUMIF(SmtRes!AQ29:'SmtRes'!AQ38,"=1",SmtRes!CV29:'SmtRes'!CV38)</f>
        <v>3.09</v>
      </c>
      <c r="V237">
        <f>SUMIF(SmtRes!AQ29:'SmtRes'!AQ38,"=1",SmtRes!CW29:'SmtRes'!CW38)</f>
        <v>1.51</v>
      </c>
      <c r="W237">
        <f t="shared" ref="W237:W254" si="111">ROUND(CX237*I237,2)</f>
        <v>0</v>
      </c>
      <c r="X237">
        <f t="shared" ref="X237:X254" si="112">ROUND(CY237,2)</f>
        <v>1114.76</v>
      </c>
      <c r="Y237">
        <f t="shared" ref="Y237:Y254" si="113">ROUND(CZ237,2)</f>
        <v>586.11</v>
      </c>
      <c r="AA237">
        <v>41853493</v>
      </c>
      <c r="AB237">
        <f t="shared" ref="AB237:AB254" si="114">ROUND((AC237+AD237+AF237),2)</f>
        <v>4205.3900000000003</v>
      </c>
      <c r="AC237">
        <f>ROUND((SUM(SmtRes!BQ29:'SmtRes'!BQ38)),2)</f>
        <v>2703.01</v>
      </c>
      <c r="AD237">
        <f>ROUND((((SUM(SmtRes!BR29:'SmtRes'!BR38))-(SUM(SmtRes!BS29:'SmtRes'!BS38)))+AE237),2)</f>
        <v>537.80999999999995</v>
      </c>
      <c r="AE237">
        <f>ROUND((SUM(SmtRes!BS29:'SmtRes'!BS38)),2)</f>
        <v>184.67</v>
      </c>
      <c r="AF237">
        <f>ROUND((SUM(SmtRes!BT29:'SmtRes'!BT38)),2)</f>
        <v>964.57</v>
      </c>
      <c r="AG237">
        <f t="shared" ref="AG237:AG254" si="115">ROUND((AP237),2)</f>
        <v>0</v>
      </c>
      <c r="AH237">
        <f>(SUM(SmtRes!BU29:'SmtRes'!BU38))</f>
        <v>3.09</v>
      </c>
      <c r="AI237">
        <f>(SUM(SmtRes!BV29:'SmtRes'!BV38))</f>
        <v>0.52</v>
      </c>
      <c r="AJ237">
        <f t="shared" ref="AJ237:AJ254" si="116">(AS237)</f>
        <v>0</v>
      </c>
      <c r="AK237">
        <v>4390.0644499999999</v>
      </c>
      <c r="AL237">
        <v>2703.0122500000002</v>
      </c>
      <c r="AM237">
        <v>537.80759999999998</v>
      </c>
      <c r="AN237">
        <v>184.67020000000002</v>
      </c>
      <c r="AO237">
        <v>964.57440000000008</v>
      </c>
      <c r="AP237">
        <v>0</v>
      </c>
      <c r="AQ237">
        <v>3.09</v>
      </c>
      <c r="AR237">
        <v>0.52</v>
      </c>
      <c r="AS237">
        <v>0</v>
      </c>
      <c r="AT237">
        <v>97</v>
      </c>
      <c r="AU237">
        <v>51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6</v>
      </c>
      <c r="BE237" t="s">
        <v>6</v>
      </c>
      <c r="BF237" t="s">
        <v>6</v>
      </c>
      <c r="BG237" t="s">
        <v>6</v>
      </c>
      <c r="BH237">
        <v>0</v>
      </c>
      <c r="BI237">
        <v>2</v>
      </c>
      <c r="BJ237" t="s">
        <v>162</v>
      </c>
      <c r="BM237">
        <v>108001</v>
      </c>
      <c r="BN237">
        <v>0</v>
      </c>
      <c r="BO237" t="s">
        <v>6</v>
      </c>
      <c r="BP237">
        <v>0</v>
      </c>
      <c r="BQ237">
        <v>3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6</v>
      </c>
      <c r="BZ237">
        <v>97</v>
      </c>
      <c r="CA237">
        <v>51</v>
      </c>
      <c r="CB237" t="s">
        <v>6</v>
      </c>
      <c r="CE237">
        <v>0</v>
      </c>
      <c r="CF237">
        <v>0</v>
      </c>
      <c r="CG237">
        <v>0</v>
      </c>
      <c r="CM237">
        <v>0</v>
      </c>
      <c r="CN237" t="s">
        <v>6</v>
      </c>
      <c r="CO237">
        <v>0</v>
      </c>
      <c r="CP237">
        <f>(P237+Q237+S237+R237)</f>
        <v>4684.9000000000005</v>
      </c>
      <c r="CQ237">
        <f>SUMIF(SmtRes!AQ29:'SmtRes'!AQ38,"=1",SmtRes!AA29:'SmtRes'!AA38)</f>
        <v>117323.39</v>
      </c>
      <c r="CR237">
        <f>SUMIF(SmtRes!AQ29:'SmtRes'!AQ38,"=1",SmtRes!AB29:'SmtRes'!AB38)</f>
        <v>2018.57</v>
      </c>
      <c r="CS237">
        <f>SUMIF(SmtRes!AQ29:'SmtRes'!AQ38,"=1",SmtRes!AC29:'SmtRes'!AC38)</f>
        <v>710.27</v>
      </c>
      <c r="CT237">
        <f>SUMIF(SmtRes!AQ29:'SmtRes'!AQ38,"=1",SmtRes!AD29:'SmtRes'!AD38)</f>
        <v>312.16000000000003</v>
      </c>
      <c r="CU237">
        <f>AG237</f>
        <v>0</v>
      </c>
      <c r="CV237">
        <f>SUMIF(SmtRes!AQ29:'SmtRes'!AQ38,"=1",SmtRes!BU29:'SmtRes'!BU38)</f>
        <v>3.09</v>
      </c>
      <c r="CW237">
        <f>SUMIF(SmtRes!AQ29:'SmtRes'!AQ38,"=1",SmtRes!BV29:'SmtRes'!BV38)</f>
        <v>0.52</v>
      </c>
      <c r="CX237">
        <f>AJ237</f>
        <v>0</v>
      </c>
      <c r="CY237">
        <f>(((S237+R237)*AT237)/100)</f>
        <v>1114.7628</v>
      </c>
      <c r="CZ237">
        <f>(((S237+R237)*AU237)/100)</f>
        <v>586.11239999999998</v>
      </c>
      <c r="DC237" t="s">
        <v>6</v>
      </c>
      <c r="DD237" t="s">
        <v>6</v>
      </c>
      <c r="DE237" t="s">
        <v>6</v>
      </c>
      <c r="DF237" t="s">
        <v>6</v>
      </c>
      <c r="DG237" t="s">
        <v>6</v>
      </c>
      <c r="DH237" t="s">
        <v>6</v>
      </c>
      <c r="DI237" t="s">
        <v>6</v>
      </c>
      <c r="DJ237" t="s">
        <v>6</v>
      </c>
      <c r="DK237" t="s">
        <v>6</v>
      </c>
      <c r="DL237" t="s">
        <v>6</v>
      </c>
      <c r="DM237" t="s">
        <v>6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20</v>
      </c>
      <c r="DW237" t="s">
        <v>20</v>
      </c>
      <c r="DX237">
        <v>1</v>
      </c>
      <c r="DZ237" t="s">
        <v>6</v>
      </c>
      <c r="EA237" t="s">
        <v>6</v>
      </c>
      <c r="EB237" t="s">
        <v>6</v>
      </c>
      <c r="EC237" t="s">
        <v>6</v>
      </c>
      <c r="EE237">
        <v>40604465</v>
      </c>
      <c r="EF237">
        <v>3</v>
      </c>
      <c r="EG237" t="s">
        <v>22</v>
      </c>
      <c r="EH237">
        <v>0</v>
      </c>
      <c r="EI237" t="s">
        <v>6</v>
      </c>
      <c r="EJ237">
        <v>2</v>
      </c>
      <c r="EK237">
        <v>108001</v>
      </c>
      <c r="EL237" t="s">
        <v>23</v>
      </c>
      <c r="EM237" t="s">
        <v>24</v>
      </c>
      <c r="EO237" t="s">
        <v>6</v>
      </c>
      <c r="EQ237">
        <v>0</v>
      </c>
      <c r="ER237">
        <v>0</v>
      </c>
      <c r="ES237">
        <v>0</v>
      </c>
      <c r="ET237">
        <v>0</v>
      </c>
      <c r="EU237">
        <v>0</v>
      </c>
      <c r="EV237">
        <v>0</v>
      </c>
      <c r="EW237">
        <v>3.09</v>
      </c>
      <c r="EX237">
        <v>0.52</v>
      </c>
      <c r="EY237">
        <v>0</v>
      </c>
      <c r="FQ237">
        <v>0</v>
      </c>
      <c r="FR237">
        <f t="shared" ref="FR237:FR254" si="117">ROUND(IF(BI237=3,GM237,0),2)</f>
        <v>0</v>
      </c>
      <c r="FS237">
        <v>0</v>
      </c>
      <c r="FX237">
        <v>97</v>
      </c>
      <c r="FY237">
        <v>51</v>
      </c>
      <c r="GA237" t="s">
        <v>6</v>
      </c>
      <c r="GD237">
        <v>1</v>
      </c>
      <c r="GF237">
        <v>721789947</v>
      </c>
      <c r="GG237">
        <v>2</v>
      </c>
      <c r="GH237">
        <v>1</v>
      </c>
      <c r="GI237">
        <v>-2</v>
      </c>
      <c r="GJ237">
        <v>0</v>
      </c>
      <c r="GK237">
        <v>0</v>
      </c>
      <c r="GL237">
        <f t="shared" ref="GL237:GL254" si="118">ROUND(IF(AND(BH237=3,BI237=3,FS237&lt;&gt;0),P237,0),2)</f>
        <v>0</v>
      </c>
      <c r="GM237">
        <f t="shared" ref="GM237:GM254" si="119">ROUND(O237+X237+Y237,2)+GX237</f>
        <v>6385.77</v>
      </c>
      <c r="GN237">
        <f t="shared" ref="GN237:GN254" si="120">IF(OR(BI237=0,BI237=1),GM237,0)</f>
        <v>0</v>
      </c>
      <c r="GO237">
        <f t="shared" ref="GO237:GO254" si="121">IF(BI237=2,GM237,0)</f>
        <v>6385.77</v>
      </c>
      <c r="GP237">
        <f t="shared" ref="GP237:GP254" si="122">IF(BI237=4,GM237+GX237,0)</f>
        <v>0</v>
      </c>
      <c r="GR237">
        <v>0</v>
      </c>
      <c r="GS237">
        <v>3</v>
      </c>
      <c r="GT237">
        <v>0</v>
      </c>
      <c r="GU237" t="s">
        <v>6</v>
      </c>
      <c r="GV237">
        <f t="shared" ref="GV237:GV254" si="123">ROUND((GT237),2)</f>
        <v>0</v>
      </c>
      <c r="GW237">
        <v>1</v>
      </c>
      <c r="GX237">
        <f t="shared" ref="GX237:GX254" si="124">ROUND(HC237*I237,2)</f>
        <v>0</v>
      </c>
      <c r="HA237">
        <v>0</v>
      </c>
      <c r="HB237">
        <v>0</v>
      </c>
      <c r="HC237">
        <f>GV237*GW237</f>
        <v>0</v>
      </c>
      <c r="HE237" t="s">
        <v>6</v>
      </c>
      <c r="HF237" t="s">
        <v>6</v>
      </c>
      <c r="HM237" t="s">
        <v>6</v>
      </c>
      <c r="HN237" t="s">
        <v>25</v>
      </c>
      <c r="HO237" t="s">
        <v>26</v>
      </c>
      <c r="HP237" t="s">
        <v>23</v>
      </c>
      <c r="HQ237" t="s">
        <v>23</v>
      </c>
      <c r="IK237">
        <v>0</v>
      </c>
    </row>
    <row r="238" spans="1:245">
      <c r="A238">
        <v>18</v>
      </c>
      <c r="B238">
        <v>1</v>
      </c>
      <c r="C238">
        <v>38</v>
      </c>
      <c r="E238" t="s">
        <v>163</v>
      </c>
      <c r="F238" t="s">
        <v>28</v>
      </c>
      <c r="G238" t="s">
        <v>29</v>
      </c>
      <c r="H238" t="s">
        <v>30</v>
      </c>
      <c r="I238">
        <f>J238</f>
        <v>2</v>
      </c>
      <c r="J238">
        <v>2</v>
      </c>
      <c r="K238">
        <v>2</v>
      </c>
      <c r="O238">
        <f>ROUND(P238,2)</f>
        <v>19.29</v>
      </c>
      <c r="P238">
        <f>ROUND(ROUND(ROUND(SUMIF(SmtRes!AQ29:'SmtRes'!AQ38,"=1",SmtRes!CU29:'SmtRes'!CU38),2),2)*I238/100,2)</f>
        <v>19.29</v>
      </c>
      <c r="Q238">
        <f>ROUND(CR238*I238,2)</f>
        <v>0</v>
      </c>
      <c r="R238">
        <f>ROUND(CS238*I238,2)</f>
        <v>0</v>
      </c>
      <c r="S238">
        <f>ROUND(CT238*I238,2)</f>
        <v>0</v>
      </c>
      <c r="T238">
        <f t="shared" si="110"/>
        <v>0</v>
      </c>
      <c r="U238">
        <f>CV238*I238</f>
        <v>0</v>
      </c>
      <c r="V238">
        <f>CW238*I238</f>
        <v>0</v>
      </c>
      <c r="W238">
        <f t="shared" si="111"/>
        <v>0</v>
      </c>
      <c r="X238">
        <f t="shared" si="112"/>
        <v>0</v>
      </c>
      <c r="Y238">
        <f t="shared" si="113"/>
        <v>0</v>
      </c>
      <c r="AA238">
        <v>41853493</v>
      </c>
      <c r="AB238">
        <f t="shared" si="114"/>
        <v>0</v>
      </c>
      <c r="AC238">
        <f>ROUND((ES238),2)</f>
        <v>0</v>
      </c>
      <c r="AD238">
        <f>ROUND((((ET238)-(EU238))+AE238),2)</f>
        <v>0</v>
      </c>
      <c r="AE238">
        <f>ROUND((EU238),2)</f>
        <v>0</v>
      </c>
      <c r="AF238">
        <f>ROUND((EV238),2)</f>
        <v>0</v>
      </c>
      <c r="AG238">
        <f t="shared" si="115"/>
        <v>0</v>
      </c>
      <c r="AH238">
        <f>(EW238)</f>
        <v>0</v>
      </c>
      <c r="AI238">
        <f>(EX238)</f>
        <v>0</v>
      </c>
      <c r="AJ238">
        <f t="shared" si="116"/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6</v>
      </c>
      <c r="BE238" t="s">
        <v>6</v>
      </c>
      <c r="BF238" t="s">
        <v>6</v>
      </c>
      <c r="BG238" t="s">
        <v>6</v>
      </c>
      <c r="BH238">
        <v>3</v>
      </c>
      <c r="BI238">
        <v>4</v>
      </c>
      <c r="BJ238" t="s">
        <v>6</v>
      </c>
      <c r="BM238">
        <v>0</v>
      </c>
      <c r="BN238">
        <v>0</v>
      </c>
      <c r="BO238" t="s">
        <v>6</v>
      </c>
      <c r="BP238">
        <v>0</v>
      </c>
      <c r="BQ238">
        <v>16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6</v>
      </c>
      <c r="BZ238">
        <v>0</v>
      </c>
      <c r="CA238">
        <v>0</v>
      </c>
      <c r="CB238" t="s">
        <v>6</v>
      </c>
      <c r="CE238">
        <v>0</v>
      </c>
      <c r="CF238">
        <v>0</v>
      </c>
      <c r="CG238">
        <v>0</v>
      </c>
      <c r="CM238">
        <v>0</v>
      </c>
      <c r="CN238" t="s">
        <v>6</v>
      </c>
      <c r="CO238">
        <v>0</v>
      </c>
      <c r="CP238">
        <f>0</f>
        <v>0</v>
      </c>
      <c r="CQ238">
        <f>0</f>
        <v>0</v>
      </c>
      <c r="CR238">
        <f>0</f>
        <v>0</v>
      </c>
      <c r="CS238">
        <f>0</f>
        <v>0</v>
      </c>
      <c r="CT238">
        <f>0</f>
        <v>0</v>
      </c>
      <c r="CU238">
        <f>0</f>
        <v>0</v>
      </c>
      <c r="CV238">
        <f>0</f>
        <v>0</v>
      </c>
      <c r="CW238">
        <f>0</f>
        <v>0</v>
      </c>
      <c r="CX238">
        <f>0</f>
        <v>0</v>
      </c>
      <c r="CY238">
        <f>0</f>
        <v>0</v>
      </c>
      <c r="CZ238">
        <f>0</f>
        <v>0</v>
      </c>
      <c r="DC238" t="s">
        <v>6</v>
      </c>
      <c r="DD238" t="s">
        <v>6</v>
      </c>
      <c r="DE238" t="s">
        <v>6</v>
      </c>
      <c r="DF238" t="s">
        <v>6</v>
      </c>
      <c r="DG238" t="s">
        <v>6</v>
      </c>
      <c r="DH238" t="s">
        <v>6</v>
      </c>
      <c r="DI238" t="s">
        <v>6</v>
      </c>
      <c r="DJ238" t="s">
        <v>6</v>
      </c>
      <c r="DK238" t="s">
        <v>6</v>
      </c>
      <c r="DL238" t="s">
        <v>6</v>
      </c>
      <c r="DM238" t="s">
        <v>6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30</v>
      </c>
      <c r="DW238" t="s">
        <v>30</v>
      </c>
      <c r="DX238">
        <v>1</v>
      </c>
      <c r="DZ238" t="s">
        <v>6</v>
      </c>
      <c r="EA238" t="s">
        <v>6</v>
      </c>
      <c r="EB238" t="s">
        <v>6</v>
      </c>
      <c r="EC238" t="s">
        <v>6</v>
      </c>
      <c r="EE238">
        <v>40604523</v>
      </c>
      <c r="EF238">
        <v>16</v>
      </c>
      <c r="EG238" t="s">
        <v>31</v>
      </c>
      <c r="EH238">
        <v>0</v>
      </c>
      <c r="EI238" t="s">
        <v>6</v>
      </c>
      <c r="EJ238">
        <v>4</v>
      </c>
      <c r="EK238">
        <v>0</v>
      </c>
      <c r="EL238" t="s">
        <v>32</v>
      </c>
      <c r="EM238" t="s">
        <v>33</v>
      </c>
      <c r="EO238" t="s">
        <v>6</v>
      </c>
      <c r="EQ238">
        <v>0</v>
      </c>
      <c r="ER238">
        <v>0</v>
      </c>
      <c r="ES238">
        <v>0</v>
      </c>
      <c r="ET238">
        <v>0</v>
      </c>
      <c r="EU238">
        <v>0</v>
      </c>
      <c r="EV238">
        <v>0</v>
      </c>
      <c r="EW238">
        <v>0</v>
      </c>
      <c r="EX238">
        <v>0</v>
      </c>
      <c r="FQ238">
        <v>0</v>
      </c>
      <c r="FR238">
        <f t="shared" si="117"/>
        <v>0</v>
      </c>
      <c r="FS238">
        <v>0</v>
      </c>
      <c r="FX238">
        <v>0</v>
      </c>
      <c r="FY238">
        <v>0</v>
      </c>
      <c r="GA238" t="s">
        <v>6</v>
      </c>
      <c r="GD238">
        <v>1</v>
      </c>
      <c r="GF238">
        <v>274903907</v>
      </c>
      <c r="GG238">
        <v>2</v>
      </c>
      <c r="GH238">
        <v>1</v>
      </c>
      <c r="GI238">
        <v>-2</v>
      </c>
      <c r="GJ238">
        <v>0</v>
      </c>
      <c r="GK238">
        <v>0</v>
      </c>
      <c r="GL238">
        <f t="shared" si="118"/>
        <v>0</v>
      </c>
      <c r="GM238">
        <f t="shared" si="119"/>
        <v>19.29</v>
      </c>
      <c r="GN238">
        <f t="shared" si="120"/>
        <v>0</v>
      </c>
      <c r="GO238">
        <f t="shared" si="121"/>
        <v>0</v>
      </c>
      <c r="GP238">
        <f t="shared" si="122"/>
        <v>19.29</v>
      </c>
      <c r="GR238">
        <v>0</v>
      </c>
      <c r="GS238">
        <v>3</v>
      </c>
      <c r="GT238">
        <v>0</v>
      </c>
      <c r="GU238" t="s">
        <v>6</v>
      </c>
      <c r="GV238">
        <f t="shared" si="123"/>
        <v>0</v>
      </c>
      <c r="GW238">
        <v>1</v>
      </c>
      <c r="GX238">
        <f t="shared" si="124"/>
        <v>0</v>
      </c>
      <c r="HA238">
        <v>0</v>
      </c>
      <c r="HB238">
        <v>0</v>
      </c>
      <c r="HC238">
        <f>0</f>
        <v>0</v>
      </c>
      <c r="HE238" t="s">
        <v>6</v>
      </c>
      <c r="HF238" t="s">
        <v>6</v>
      </c>
      <c r="HM238" t="s">
        <v>6</v>
      </c>
      <c r="HN238" t="s">
        <v>6</v>
      </c>
      <c r="HO238" t="s">
        <v>6</v>
      </c>
      <c r="HP238" t="s">
        <v>6</v>
      </c>
      <c r="HQ238" t="s">
        <v>6</v>
      </c>
      <c r="IK238">
        <v>0</v>
      </c>
    </row>
    <row r="239" spans="1:245">
      <c r="A239">
        <v>17</v>
      </c>
      <c r="B239">
        <v>1</v>
      </c>
      <c r="C239">
        <f>ROW(SmtRes!A41)</f>
        <v>41</v>
      </c>
      <c r="D239">
        <f>ROW(EtalonRes!A41)</f>
        <v>41</v>
      </c>
      <c r="E239" t="s">
        <v>164</v>
      </c>
      <c r="F239" t="s">
        <v>165</v>
      </c>
      <c r="G239" t="s">
        <v>166</v>
      </c>
      <c r="H239" t="s">
        <v>20</v>
      </c>
      <c r="I239">
        <v>1</v>
      </c>
      <c r="J239">
        <v>0</v>
      </c>
      <c r="K239">
        <v>1</v>
      </c>
      <c r="O239">
        <f>ROUND(CP239,2)</f>
        <v>14874.88</v>
      </c>
      <c r="P239">
        <f>SUMIF(SmtRes!AQ39:'SmtRes'!AQ41,"=1",SmtRes!DF39:'SmtRes'!DF41)</f>
        <v>0</v>
      </c>
      <c r="Q239">
        <f>SUMIF(SmtRes!AQ39:'SmtRes'!AQ41,"=1",SmtRes!DG39:'SmtRes'!DG41)</f>
        <v>0</v>
      </c>
      <c r="R239">
        <f>SUMIF(SmtRes!AQ39:'SmtRes'!AQ41,"=1",SmtRes!DH39:'SmtRes'!DH41)</f>
        <v>0</v>
      </c>
      <c r="S239">
        <f>SUMIF(SmtRes!AQ39:'SmtRes'!AQ41,"=1",SmtRes!DI39:'SmtRes'!DI41)</f>
        <v>14874.880000000001</v>
      </c>
      <c r="T239">
        <f t="shared" si="110"/>
        <v>0</v>
      </c>
      <c r="U239">
        <f>SUMIF(SmtRes!AQ39:'SmtRes'!AQ41,"=1",SmtRes!CV39:'SmtRes'!CV41)</f>
        <v>32</v>
      </c>
      <c r="V239">
        <f>SUMIF(SmtRes!AQ39:'SmtRes'!AQ41,"=1",SmtRes!CW39:'SmtRes'!CW41)</f>
        <v>0</v>
      </c>
      <c r="W239">
        <f t="shared" si="111"/>
        <v>0</v>
      </c>
      <c r="X239">
        <f t="shared" si="112"/>
        <v>13387.39</v>
      </c>
      <c r="Y239">
        <f t="shared" si="113"/>
        <v>6842.44</v>
      </c>
      <c r="AA239">
        <v>41853493</v>
      </c>
      <c r="AB239">
        <f t="shared" si="114"/>
        <v>14874.88</v>
      </c>
      <c r="AC239">
        <f>ROUND((0),2)</f>
        <v>0</v>
      </c>
      <c r="AD239">
        <f>ROUND((((0)-(0))+AE239),2)</f>
        <v>0</v>
      </c>
      <c r="AE239">
        <f>ROUND((0),2)</f>
        <v>0</v>
      </c>
      <c r="AF239">
        <f>ROUND((SUM(SmtRes!BT39:'SmtRes'!BT41)),2)</f>
        <v>14874.88</v>
      </c>
      <c r="AG239">
        <f t="shared" si="115"/>
        <v>0</v>
      </c>
      <c r="AH239">
        <f>(SUM(SmtRes!BU39:'SmtRes'!BU41))</f>
        <v>32</v>
      </c>
      <c r="AI239">
        <f>(0)</f>
        <v>0</v>
      </c>
      <c r="AJ239">
        <f t="shared" si="116"/>
        <v>0</v>
      </c>
      <c r="AK239">
        <v>14874.880000000001</v>
      </c>
      <c r="AL239">
        <v>0</v>
      </c>
      <c r="AM239">
        <v>0</v>
      </c>
      <c r="AN239">
        <v>0</v>
      </c>
      <c r="AO239">
        <v>14874.880000000001</v>
      </c>
      <c r="AP239">
        <v>0</v>
      </c>
      <c r="AQ239">
        <v>32</v>
      </c>
      <c r="AR239">
        <v>0</v>
      </c>
      <c r="AS239">
        <v>0</v>
      </c>
      <c r="AT239">
        <v>90</v>
      </c>
      <c r="AU239">
        <v>46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6</v>
      </c>
      <c r="BE239" t="s">
        <v>6</v>
      </c>
      <c r="BF239" t="s">
        <v>6</v>
      </c>
      <c r="BG239" t="s">
        <v>6</v>
      </c>
      <c r="BH239">
        <v>0</v>
      </c>
      <c r="BI239">
        <v>2</v>
      </c>
      <c r="BJ239" t="s">
        <v>167</v>
      </c>
      <c r="BM239">
        <v>110008</v>
      </c>
      <c r="BN239">
        <v>0</v>
      </c>
      <c r="BO239" t="s">
        <v>6</v>
      </c>
      <c r="BP239">
        <v>0</v>
      </c>
      <c r="BQ239">
        <v>3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6</v>
      </c>
      <c r="BZ239">
        <v>90</v>
      </c>
      <c r="CA239">
        <v>46</v>
      </c>
      <c r="CB239" t="s">
        <v>6</v>
      </c>
      <c r="CE239">
        <v>0</v>
      </c>
      <c r="CF239">
        <v>0</v>
      </c>
      <c r="CG239">
        <v>0</v>
      </c>
      <c r="CM239">
        <v>0</v>
      </c>
      <c r="CN239" t="s">
        <v>6</v>
      </c>
      <c r="CO239">
        <v>0</v>
      </c>
      <c r="CP239">
        <f>(P239+Q239+S239+R239)</f>
        <v>14874.880000000001</v>
      </c>
      <c r="CQ239">
        <f>SUMIF(SmtRes!AQ39:'SmtRes'!AQ41,"=1",SmtRes!AA39:'SmtRes'!AA41)</f>
        <v>0</v>
      </c>
      <c r="CR239">
        <f>SUMIF(SmtRes!AQ39:'SmtRes'!AQ41,"=1",SmtRes!AB39:'SmtRes'!AB41)</f>
        <v>0</v>
      </c>
      <c r="CS239">
        <f>SUMIF(SmtRes!AQ39:'SmtRes'!AQ41,"=1",SmtRes!AC39:'SmtRes'!AC41)</f>
        <v>0</v>
      </c>
      <c r="CT239">
        <f>SUMIF(SmtRes!AQ39:'SmtRes'!AQ41,"=1",SmtRes!AD39:'SmtRes'!AD41)</f>
        <v>929.68000000000006</v>
      </c>
      <c r="CU239">
        <f>AG239</f>
        <v>0</v>
      </c>
      <c r="CV239">
        <f>SUMIF(SmtRes!AQ39:'SmtRes'!AQ41,"=1",SmtRes!BU39:'SmtRes'!BU41)</f>
        <v>32</v>
      </c>
      <c r="CW239">
        <f>SUMIF(SmtRes!AQ39:'SmtRes'!AQ41,"=1",SmtRes!BV39:'SmtRes'!BV41)</f>
        <v>0</v>
      </c>
      <c r="CX239">
        <f>AJ239</f>
        <v>0</v>
      </c>
      <c r="CY239">
        <f>(((S239+R239)*AT239)/100)</f>
        <v>13387.392000000002</v>
      </c>
      <c r="CZ239">
        <f>(((S239+R239)*AU239)/100)</f>
        <v>6842.4448000000011</v>
      </c>
      <c r="DC239" t="s">
        <v>6</v>
      </c>
      <c r="DD239" t="s">
        <v>6</v>
      </c>
      <c r="DE239" t="s">
        <v>6</v>
      </c>
      <c r="DF239" t="s">
        <v>6</v>
      </c>
      <c r="DG239" t="s">
        <v>6</v>
      </c>
      <c r="DH239" t="s">
        <v>6</v>
      </c>
      <c r="DI239" t="s">
        <v>6</v>
      </c>
      <c r="DJ239" t="s">
        <v>6</v>
      </c>
      <c r="DK239" t="s">
        <v>6</v>
      </c>
      <c r="DL239" t="s">
        <v>6</v>
      </c>
      <c r="DM239" t="s">
        <v>6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20</v>
      </c>
      <c r="DW239" t="s">
        <v>20</v>
      </c>
      <c r="DX239">
        <v>1</v>
      </c>
      <c r="DZ239" t="s">
        <v>6</v>
      </c>
      <c r="EA239" t="s">
        <v>6</v>
      </c>
      <c r="EB239" t="s">
        <v>6</v>
      </c>
      <c r="EC239" t="s">
        <v>6</v>
      </c>
      <c r="EE239">
        <v>40604470</v>
      </c>
      <c r="EF239">
        <v>3</v>
      </c>
      <c r="EG239" t="s">
        <v>22</v>
      </c>
      <c r="EH239">
        <v>0</v>
      </c>
      <c r="EI239" t="s">
        <v>6</v>
      </c>
      <c r="EJ239">
        <v>2</v>
      </c>
      <c r="EK239">
        <v>110008</v>
      </c>
      <c r="EL239" t="s">
        <v>168</v>
      </c>
      <c r="EM239" t="s">
        <v>169</v>
      </c>
      <c r="EO239" t="s">
        <v>6</v>
      </c>
      <c r="EQ239">
        <v>0</v>
      </c>
      <c r="ER239">
        <v>0</v>
      </c>
      <c r="ES239">
        <v>0</v>
      </c>
      <c r="ET239">
        <v>0</v>
      </c>
      <c r="EU239">
        <v>0</v>
      </c>
      <c r="EV239">
        <v>0</v>
      </c>
      <c r="EW239">
        <v>32</v>
      </c>
      <c r="EX239">
        <v>0</v>
      </c>
      <c r="EY239">
        <v>0</v>
      </c>
      <c r="FQ239">
        <v>0</v>
      </c>
      <c r="FR239">
        <f t="shared" si="117"/>
        <v>0</v>
      </c>
      <c r="FS239">
        <v>0</v>
      </c>
      <c r="FX239">
        <v>90</v>
      </c>
      <c r="FY239">
        <v>46</v>
      </c>
      <c r="GA239" t="s">
        <v>6</v>
      </c>
      <c r="GD239">
        <v>1</v>
      </c>
      <c r="GF239">
        <v>1183662064</v>
      </c>
      <c r="GG239">
        <v>2</v>
      </c>
      <c r="GH239">
        <v>1</v>
      </c>
      <c r="GI239">
        <v>-2</v>
      </c>
      <c r="GJ239">
        <v>0</v>
      </c>
      <c r="GK239">
        <v>0</v>
      </c>
      <c r="GL239">
        <f t="shared" si="118"/>
        <v>0</v>
      </c>
      <c r="GM239">
        <f t="shared" si="119"/>
        <v>35104.71</v>
      </c>
      <c r="GN239">
        <f t="shared" si="120"/>
        <v>0</v>
      </c>
      <c r="GO239">
        <f t="shared" si="121"/>
        <v>35104.71</v>
      </c>
      <c r="GP239">
        <f t="shared" si="122"/>
        <v>0</v>
      </c>
      <c r="GR239">
        <v>0</v>
      </c>
      <c r="GS239">
        <v>3</v>
      </c>
      <c r="GT239">
        <v>0</v>
      </c>
      <c r="GU239" t="s">
        <v>6</v>
      </c>
      <c r="GV239">
        <f t="shared" si="123"/>
        <v>0</v>
      </c>
      <c r="GW239">
        <v>1</v>
      </c>
      <c r="GX239">
        <f t="shared" si="124"/>
        <v>0</v>
      </c>
      <c r="HA239">
        <v>0</v>
      </c>
      <c r="HB239">
        <v>0</v>
      </c>
      <c r="HC239">
        <f>GV239*GW239</f>
        <v>0</v>
      </c>
      <c r="HE239" t="s">
        <v>6</v>
      </c>
      <c r="HF239" t="s">
        <v>6</v>
      </c>
      <c r="HM239" t="s">
        <v>6</v>
      </c>
      <c r="HN239" t="s">
        <v>170</v>
      </c>
      <c r="HO239" t="s">
        <v>171</v>
      </c>
      <c r="HP239" t="s">
        <v>172</v>
      </c>
      <c r="HQ239" t="s">
        <v>172</v>
      </c>
      <c r="IK239">
        <v>0</v>
      </c>
    </row>
    <row r="240" spans="1:245">
      <c r="A240">
        <v>18</v>
      </c>
      <c r="B240">
        <v>1</v>
      </c>
      <c r="C240">
        <v>41</v>
      </c>
      <c r="E240" t="s">
        <v>173</v>
      </c>
      <c r="F240" t="s">
        <v>28</v>
      </c>
      <c r="G240" t="s">
        <v>29</v>
      </c>
      <c r="H240" t="s">
        <v>30</v>
      </c>
      <c r="I240">
        <f>J240</f>
        <v>2</v>
      </c>
      <c r="J240">
        <v>2</v>
      </c>
      <c r="K240">
        <v>2</v>
      </c>
      <c r="O240">
        <f>ROUND(P240,2)</f>
        <v>297.5</v>
      </c>
      <c r="P240">
        <f>ROUND(ROUND(ROUND(SUMIF(SmtRes!AQ39:'SmtRes'!AQ41,"=1",SmtRes!CU39:'SmtRes'!CU41),2),2)*I240/100,2)</f>
        <v>297.5</v>
      </c>
      <c r="Q240">
        <f>ROUND(CR240*I240,2)</f>
        <v>0</v>
      </c>
      <c r="R240">
        <f>ROUND(CS240*I240,2)</f>
        <v>0</v>
      </c>
      <c r="S240">
        <f>ROUND(CT240*I240,2)</f>
        <v>0</v>
      </c>
      <c r="T240">
        <f t="shared" si="110"/>
        <v>0</v>
      </c>
      <c r="U240">
        <f>CV240*I240</f>
        <v>0</v>
      </c>
      <c r="V240">
        <f>CW240*I240</f>
        <v>0</v>
      </c>
      <c r="W240">
        <f t="shared" si="111"/>
        <v>0</v>
      </c>
      <c r="X240">
        <f t="shared" si="112"/>
        <v>0</v>
      </c>
      <c r="Y240">
        <f t="shared" si="113"/>
        <v>0</v>
      </c>
      <c r="AA240">
        <v>41853493</v>
      </c>
      <c r="AB240">
        <f t="shared" si="114"/>
        <v>0</v>
      </c>
      <c r="AC240">
        <f>ROUND((ES240),2)</f>
        <v>0</v>
      </c>
      <c r="AD240">
        <f>ROUND((((ET240)-(EU240))+AE240),2)</f>
        <v>0</v>
      </c>
      <c r="AE240">
        <f>ROUND((EU240),2)</f>
        <v>0</v>
      </c>
      <c r="AF240">
        <f>ROUND((EV240),2)</f>
        <v>0</v>
      </c>
      <c r="AG240">
        <f t="shared" si="115"/>
        <v>0</v>
      </c>
      <c r="AH240">
        <f>(EW240)</f>
        <v>0</v>
      </c>
      <c r="AI240">
        <f>(EX240)</f>
        <v>0</v>
      </c>
      <c r="AJ240">
        <f t="shared" si="116"/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6</v>
      </c>
      <c r="BE240" t="s">
        <v>6</v>
      </c>
      <c r="BF240" t="s">
        <v>6</v>
      </c>
      <c r="BG240" t="s">
        <v>6</v>
      </c>
      <c r="BH240">
        <v>3</v>
      </c>
      <c r="BI240">
        <v>4</v>
      </c>
      <c r="BJ240" t="s">
        <v>6</v>
      </c>
      <c r="BM240">
        <v>0</v>
      </c>
      <c r="BN240">
        <v>0</v>
      </c>
      <c r="BO240" t="s">
        <v>6</v>
      </c>
      <c r="BP240">
        <v>0</v>
      </c>
      <c r="BQ240">
        <v>16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6</v>
      </c>
      <c r="BZ240">
        <v>0</v>
      </c>
      <c r="CA240">
        <v>0</v>
      </c>
      <c r="CB240" t="s">
        <v>6</v>
      </c>
      <c r="CE240">
        <v>0</v>
      </c>
      <c r="CF240">
        <v>0</v>
      </c>
      <c r="CG240">
        <v>0</v>
      </c>
      <c r="CM240">
        <v>0</v>
      </c>
      <c r="CN240" t="s">
        <v>6</v>
      </c>
      <c r="CO240">
        <v>0</v>
      </c>
      <c r="CP240">
        <f>0</f>
        <v>0</v>
      </c>
      <c r="CQ240">
        <f>0</f>
        <v>0</v>
      </c>
      <c r="CR240">
        <f>0</f>
        <v>0</v>
      </c>
      <c r="CS240">
        <f>0</f>
        <v>0</v>
      </c>
      <c r="CT240">
        <f>0</f>
        <v>0</v>
      </c>
      <c r="CU240">
        <f>0</f>
        <v>0</v>
      </c>
      <c r="CV240">
        <f>0</f>
        <v>0</v>
      </c>
      <c r="CW240">
        <f>0</f>
        <v>0</v>
      </c>
      <c r="CX240">
        <f>0</f>
        <v>0</v>
      </c>
      <c r="CY240">
        <f>0</f>
        <v>0</v>
      </c>
      <c r="CZ240">
        <f>0</f>
        <v>0</v>
      </c>
      <c r="DC240" t="s">
        <v>6</v>
      </c>
      <c r="DD240" t="s">
        <v>6</v>
      </c>
      <c r="DE240" t="s">
        <v>6</v>
      </c>
      <c r="DF240" t="s">
        <v>6</v>
      </c>
      <c r="DG240" t="s">
        <v>6</v>
      </c>
      <c r="DH240" t="s">
        <v>6</v>
      </c>
      <c r="DI240" t="s">
        <v>6</v>
      </c>
      <c r="DJ240" t="s">
        <v>6</v>
      </c>
      <c r="DK240" t="s">
        <v>6</v>
      </c>
      <c r="DL240" t="s">
        <v>6</v>
      </c>
      <c r="DM240" t="s">
        <v>6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30</v>
      </c>
      <c r="DW240" t="s">
        <v>30</v>
      </c>
      <c r="DX240">
        <v>1</v>
      </c>
      <c r="DZ240" t="s">
        <v>6</v>
      </c>
      <c r="EA240" t="s">
        <v>6</v>
      </c>
      <c r="EB240" t="s">
        <v>6</v>
      </c>
      <c r="EC240" t="s">
        <v>6</v>
      </c>
      <c r="EE240">
        <v>40604523</v>
      </c>
      <c r="EF240">
        <v>16</v>
      </c>
      <c r="EG240" t="s">
        <v>31</v>
      </c>
      <c r="EH240">
        <v>0</v>
      </c>
      <c r="EI240" t="s">
        <v>6</v>
      </c>
      <c r="EJ240">
        <v>4</v>
      </c>
      <c r="EK240">
        <v>0</v>
      </c>
      <c r="EL240" t="s">
        <v>32</v>
      </c>
      <c r="EM240" t="s">
        <v>33</v>
      </c>
      <c r="EO240" t="s">
        <v>6</v>
      </c>
      <c r="EQ240">
        <v>0</v>
      </c>
      <c r="ER240">
        <v>0</v>
      </c>
      <c r="ES240">
        <v>0</v>
      </c>
      <c r="ET240">
        <v>0</v>
      </c>
      <c r="EU240">
        <v>0</v>
      </c>
      <c r="EV240">
        <v>0</v>
      </c>
      <c r="EW240">
        <v>0</v>
      </c>
      <c r="EX240">
        <v>0</v>
      </c>
      <c r="FQ240">
        <v>0</v>
      </c>
      <c r="FR240">
        <f t="shared" si="117"/>
        <v>0</v>
      </c>
      <c r="FS240">
        <v>0</v>
      </c>
      <c r="FX240">
        <v>0</v>
      </c>
      <c r="FY240">
        <v>0</v>
      </c>
      <c r="GA240" t="s">
        <v>6</v>
      </c>
      <c r="GD240">
        <v>1</v>
      </c>
      <c r="GF240">
        <v>274903907</v>
      </c>
      <c r="GG240">
        <v>2</v>
      </c>
      <c r="GH240">
        <v>1</v>
      </c>
      <c r="GI240">
        <v>-2</v>
      </c>
      <c r="GJ240">
        <v>0</v>
      </c>
      <c r="GK240">
        <v>0</v>
      </c>
      <c r="GL240">
        <f t="shared" si="118"/>
        <v>0</v>
      </c>
      <c r="GM240">
        <f t="shared" si="119"/>
        <v>297.5</v>
      </c>
      <c r="GN240">
        <f t="shared" si="120"/>
        <v>0</v>
      </c>
      <c r="GO240">
        <f t="shared" si="121"/>
        <v>0</v>
      </c>
      <c r="GP240">
        <f t="shared" si="122"/>
        <v>297.5</v>
      </c>
      <c r="GR240">
        <v>0</v>
      </c>
      <c r="GS240">
        <v>3</v>
      </c>
      <c r="GT240">
        <v>0</v>
      </c>
      <c r="GU240" t="s">
        <v>6</v>
      </c>
      <c r="GV240">
        <f t="shared" si="123"/>
        <v>0</v>
      </c>
      <c r="GW240">
        <v>1</v>
      </c>
      <c r="GX240">
        <f t="shared" si="124"/>
        <v>0</v>
      </c>
      <c r="HA240">
        <v>0</v>
      </c>
      <c r="HB240">
        <v>0</v>
      </c>
      <c r="HC240">
        <f>0</f>
        <v>0</v>
      </c>
      <c r="HE240" t="s">
        <v>6</v>
      </c>
      <c r="HF240" t="s">
        <v>6</v>
      </c>
      <c r="HM240" t="s">
        <v>6</v>
      </c>
      <c r="HN240" t="s">
        <v>6</v>
      </c>
      <c r="HO240" t="s">
        <v>6</v>
      </c>
      <c r="HP240" t="s">
        <v>6</v>
      </c>
      <c r="HQ240" t="s">
        <v>6</v>
      </c>
      <c r="IK240">
        <v>0</v>
      </c>
    </row>
    <row r="241" spans="1:245">
      <c r="A241">
        <v>17</v>
      </c>
      <c r="B241">
        <v>1</v>
      </c>
      <c r="C241">
        <f>ROW(SmtRes!A47)</f>
        <v>47</v>
      </c>
      <c r="D241">
        <f>ROW(EtalonRes!A47)</f>
        <v>47</v>
      </c>
      <c r="E241" t="s">
        <v>174</v>
      </c>
      <c r="F241" t="s">
        <v>146</v>
      </c>
      <c r="G241" t="s">
        <v>147</v>
      </c>
      <c r="H241" t="s">
        <v>20</v>
      </c>
      <c r="I241">
        <v>4</v>
      </c>
      <c r="J241">
        <v>0</v>
      </c>
      <c r="K241">
        <v>4</v>
      </c>
      <c r="O241">
        <f>ROUND(CP241,2)</f>
        <v>1000.22</v>
      </c>
      <c r="P241">
        <f>SUMIF(SmtRes!AQ42:'SmtRes'!AQ47,"=1",SmtRes!DF42:'SmtRes'!DF47)</f>
        <v>17.73</v>
      </c>
      <c r="Q241">
        <f>SUMIF(SmtRes!AQ42:'SmtRes'!AQ47,"=1",SmtRes!DG42:'SmtRes'!DG47)</f>
        <v>80.03</v>
      </c>
      <c r="R241">
        <f>SUMIF(SmtRes!AQ42:'SmtRes'!AQ47,"=1",SmtRes!DH42:'SmtRes'!DH47)</f>
        <v>28.409999999999997</v>
      </c>
      <c r="S241">
        <f>SUMIF(SmtRes!AQ42:'SmtRes'!AQ47,"=1",SmtRes!DI42:'SmtRes'!DI47)</f>
        <v>874.05</v>
      </c>
      <c r="T241">
        <f t="shared" si="110"/>
        <v>0</v>
      </c>
      <c r="U241">
        <f>SUMIF(SmtRes!AQ42:'SmtRes'!AQ47,"=1",SmtRes!CV42:'SmtRes'!CV47)</f>
        <v>2.8</v>
      </c>
      <c r="V241">
        <f>SUMIF(SmtRes!AQ42:'SmtRes'!AQ47,"=1",SmtRes!CW42:'SmtRes'!CW47)</f>
        <v>0.08</v>
      </c>
      <c r="W241">
        <f t="shared" si="111"/>
        <v>0</v>
      </c>
      <c r="X241">
        <f t="shared" si="112"/>
        <v>875.39</v>
      </c>
      <c r="Y241">
        <f t="shared" si="113"/>
        <v>460.25</v>
      </c>
      <c r="AA241">
        <v>41853493</v>
      </c>
      <c r="AB241">
        <f t="shared" si="114"/>
        <v>242.34</v>
      </c>
      <c r="AC241">
        <f>ROUND((SUM(SmtRes!BQ42:'SmtRes'!BQ47)),2)</f>
        <v>3.82</v>
      </c>
      <c r="AD241">
        <f>ROUND((((SUM(SmtRes!BR42:'SmtRes'!BR47))-(SUM(SmtRes!BS42:'SmtRes'!BS47)))+AE241),2)</f>
        <v>20.010000000000002</v>
      </c>
      <c r="AE241">
        <f>ROUND((SUM(SmtRes!BS42:'SmtRes'!BS47)),2)</f>
        <v>7.1</v>
      </c>
      <c r="AF241">
        <f>ROUND((SUM(SmtRes!BT42:'SmtRes'!BT47)),2)</f>
        <v>218.51</v>
      </c>
      <c r="AG241">
        <f t="shared" si="115"/>
        <v>0</v>
      </c>
      <c r="AH241">
        <f>(SUM(SmtRes!BU42:'SmtRes'!BU47))</f>
        <v>0.7</v>
      </c>
      <c r="AI241">
        <f>(SUM(SmtRes!BV42:'SmtRes'!BV47))</f>
        <v>0.02</v>
      </c>
      <c r="AJ241">
        <f t="shared" si="116"/>
        <v>0</v>
      </c>
      <c r="AK241">
        <v>249.44478000000001</v>
      </c>
      <c r="AL241">
        <v>3.8221799999999999</v>
      </c>
      <c r="AM241">
        <v>20.007899999999999</v>
      </c>
      <c r="AN241">
        <v>7.1027000000000005</v>
      </c>
      <c r="AO241">
        <v>218.512</v>
      </c>
      <c r="AP241">
        <v>0</v>
      </c>
      <c r="AQ241">
        <v>0.7</v>
      </c>
      <c r="AR241">
        <v>0.02</v>
      </c>
      <c r="AS241">
        <v>0</v>
      </c>
      <c r="AT241">
        <v>97</v>
      </c>
      <c r="AU241">
        <v>51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6</v>
      </c>
      <c r="BE241" t="s">
        <v>6</v>
      </c>
      <c r="BF241" t="s">
        <v>6</v>
      </c>
      <c r="BG241" t="s">
        <v>6</v>
      </c>
      <c r="BH241">
        <v>0</v>
      </c>
      <c r="BI241">
        <v>2</v>
      </c>
      <c r="BJ241" t="s">
        <v>148</v>
      </c>
      <c r="BM241">
        <v>108001</v>
      </c>
      <c r="BN241">
        <v>0</v>
      </c>
      <c r="BO241" t="s">
        <v>6</v>
      </c>
      <c r="BP241">
        <v>0</v>
      </c>
      <c r="BQ241">
        <v>3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6</v>
      </c>
      <c r="BZ241">
        <v>97</v>
      </c>
      <c r="CA241">
        <v>51</v>
      </c>
      <c r="CB241" t="s">
        <v>6</v>
      </c>
      <c r="CE241">
        <v>0</v>
      </c>
      <c r="CF241">
        <v>0</v>
      </c>
      <c r="CG241">
        <v>0</v>
      </c>
      <c r="CM241">
        <v>0</v>
      </c>
      <c r="CN241" t="s">
        <v>6</v>
      </c>
      <c r="CO241">
        <v>0</v>
      </c>
      <c r="CP241">
        <f>(P241+Q241+S241+R241)</f>
        <v>1000.2199999999999</v>
      </c>
      <c r="CQ241">
        <f>SUMIF(SmtRes!AQ42:'SmtRes'!AQ47,"=1",SmtRes!AA42:'SmtRes'!AA47)</f>
        <v>147790.96</v>
      </c>
      <c r="CR241">
        <f>SUMIF(SmtRes!AQ42:'SmtRes'!AQ47,"=1",SmtRes!AB42:'SmtRes'!AB47)</f>
        <v>2000.79</v>
      </c>
      <c r="CS241">
        <f>SUMIF(SmtRes!AQ42:'SmtRes'!AQ47,"=1",SmtRes!AC42:'SmtRes'!AC47)</f>
        <v>710.27</v>
      </c>
      <c r="CT241">
        <f>SUMIF(SmtRes!AQ42:'SmtRes'!AQ47,"=1",SmtRes!AD42:'SmtRes'!AD47)</f>
        <v>312.16000000000003</v>
      </c>
      <c r="CU241">
        <f>AG241</f>
        <v>0</v>
      </c>
      <c r="CV241">
        <f>SUMIF(SmtRes!AQ42:'SmtRes'!AQ47,"=1",SmtRes!BU42:'SmtRes'!BU47)</f>
        <v>0.7</v>
      </c>
      <c r="CW241">
        <f>SUMIF(SmtRes!AQ42:'SmtRes'!AQ47,"=1",SmtRes!BV42:'SmtRes'!BV47)</f>
        <v>0.02</v>
      </c>
      <c r="CX241">
        <f>AJ241</f>
        <v>0</v>
      </c>
      <c r="CY241">
        <f>(((S241+R241)*AT241)/100)</f>
        <v>875.38619999999992</v>
      </c>
      <c r="CZ241">
        <f>(((S241+R241)*AU241)/100)</f>
        <v>460.25459999999998</v>
      </c>
      <c r="DC241" t="s">
        <v>6</v>
      </c>
      <c r="DD241" t="s">
        <v>6</v>
      </c>
      <c r="DE241" t="s">
        <v>6</v>
      </c>
      <c r="DF241" t="s">
        <v>6</v>
      </c>
      <c r="DG241" t="s">
        <v>6</v>
      </c>
      <c r="DH241" t="s">
        <v>6</v>
      </c>
      <c r="DI241" t="s">
        <v>6</v>
      </c>
      <c r="DJ241" t="s">
        <v>6</v>
      </c>
      <c r="DK241" t="s">
        <v>6</v>
      </c>
      <c r="DL241" t="s">
        <v>6</v>
      </c>
      <c r="DM241" t="s">
        <v>6</v>
      </c>
      <c r="DN241">
        <v>0</v>
      </c>
      <c r="DO241">
        <v>0</v>
      </c>
      <c r="DP241">
        <v>1</v>
      </c>
      <c r="DQ241">
        <v>1</v>
      </c>
      <c r="DU241">
        <v>1013</v>
      </c>
      <c r="DV241" t="s">
        <v>20</v>
      </c>
      <c r="DW241" t="s">
        <v>20</v>
      </c>
      <c r="DX241">
        <v>1</v>
      </c>
      <c r="DZ241" t="s">
        <v>6</v>
      </c>
      <c r="EA241" t="s">
        <v>6</v>
      </c>
      <c r="EB241" t="s">
        <v>6</v>
      </c>
      <c r="EC241" t="s">
        <v>6</v>
      </c>
      <c r="EE241">
        <v>40604465</v>
      </c>
      <c r="EF241">
        <v>3</v>
      </c>
      <c r="EG241" t="s">
        <v>22</v>
      </c>
      <c r="EH241">
        <v>0</v>
      </c>
      <c r="EI241" t="s">
        <v>6</v>
      </c>
      <c r="EJ241">
        <v>2</v>
      </c>
      <c r="EK241">
        <v>108001</v>
      </c>
      <c r="EL241" t="s">
        <v>23</v>
      </c>
      <c r="EM241" t="s">
        <v>24</v>
      </c>
      <c r="EO241" t="s">
        <v>6</v>
      </c>
      <c r="EQ241">
        <v>0</v>
      </c>
      <c r="ER241">
        <v>0</v>
      </c>
      <c r="ES241">
        <v>0</v>
      </c>
      <c r="ET241">
        <v>0</v>
      </c>
      <c r="EU241">
        <v>0</v>
      </c>
      <c r="EV241">
        <v>0</v>
      </c>
      <c r="EW241">
        <v>0.7</v>
      </c>
      <c r="EX241">
        <v>0.02</v>
      </c>
      <c r="EY241">
        <v>0</v>
      </c>
      <c r="FQ241">
        <v>0</v>
      </c>
      <c r="FR241">
        <f t="shared" si="117"/>
        <v>0</v>
      </c>
      <c r="FS241">
        <v>0</v>
      </c>
      <c r="FX241">
        <v>97</v>
      </c>
      <c r="FY241">
        <v>51</v>
      </c>
      <c r="GA241" t="s">
        <v>6</v>
      </c>
      <c r="GD241">
        <v>1</v>
      </c>
      <c r="GF241">
        <v>-2039368814</v>
      </c>
      <c r="GG241">
        <v>2</v>
      </c>
      <c r="GH241">
        <v>1</v>
      </c>
      <c r="GI241">
        <v>-2</v>
      </c>
      <c r="GJ241">
        <v>0</v>
      </c>
      <c r="GK241">
        <v>0</v>
      </c>
      <c r="GL241">
        <f t="shared" si="118"/>
        <v>0</v>
      </c>
      <c r="GM241">
        <f t="shared" si="119"/>
        <v>2335.86</v>
      </c>
      <c r="GN241">
        <f t="shared" si="120"/>
        <v>0</v>
      </c>
      <c r="GO241">
        <f t="shared" si="121"/>
        <v>2335.86</v>
      </c>
      <c r="GP241">
        <f t="shared" si="122"/>
        <v>0</v>
      </c>
      <c r="GR241">
        <v>0</v>
      </c>
      <c r="GS241">
        <v>3</v>
      </c>
      <c r="GT241">
        <v>0</v>
      </c>
      <c r="GU241" t="s">
        <v>6</v>
      </c>
      <c r="GV241">
        <f t="shared" si="123"/>
        <v>0</v>
      </c>
      <c r="GW241">
        <v>1</v>
      </c>
      <c r="GX241">
        <f t="shared" si="124"/>
        <v>0</v>
      </c>
      <c r="HA241">
        <v>0</v>
      </c>
      <c r="HB241">
        <v>0</v>
      </c>
      <c r="HC241">
        <f>GV241*GW241</f>
        <v>0</v>
      </c>
      <c r="HE241" t="s">
        <v>6</v>
      </c>
      <c r="HF241" t="s">
        <v>6</v>
      </c>
      <c r="HM241" t="s">
        <v>6</v>
      </c>
      <c r="HN241" t="s">
        <v>25</v>
      </c>
      <c r="HO241" t="s">
        <v>26</v>
      </c>
      <c r="HP241" t="s">
        <v>23</v>
      </c>
      <c r="HQ241" t="s">
        <v>23</v>
      </c>
      <c r="IK241">
        <v>0</v>
      </c>
    </row>
    <row r="242" spans="1:245">
      <c r="A242">
        <v>18</v>
      </c>
      <c r="B242">
        <v>1</v>
      </c>
      <c r="C242">
        <v>47</v>
      </c>
      <c r="E242" t="s">
        <v>175</v>
      </c>
      <c r="F242" t="s">
        <v>28</v>
      </c>
      <c r="G242" t="s">
        <v>29</v>
      </c>
      <c r="H242" t="s">
        <v>30</v>
      </c>
      <c r="I242">
        <f>J242</f>
        <v>2</v>
      </c>
      <c r="J242">
        <v>2</v>
      </c>
      <c r="K242">
        <v>2</v>
      </c>
      <c r="O242">
        <f>ROUND(P242,2)</f>
        <v>17.48</v>
      </c>
      <c r="P242">
        <f>ROUND(ROUND(ROUND(SUMIF(SmtRes!AQ42:'SmtRes'!AQ47,"=1",SmtRes!CU42:'SmtRes'!CU47),2),2)*I242/100,2)</f>
        <v>17.48</v>
      </c>
      <c r="Q242">
        <f>ROUND(CR242*I242,2)</f>
        <v>0</v>
      </c>
      <c r="R242">
        <f>ROUND(CS242*I242,2)</f>
        <v>0</v>
      </c>
      <c r="S242">
        <f>ROUND(CT242*I242,2)</f>
        <v>0</v>
      </c>
      <c r="T242">
        <f t="shared" si="110"/>
        <v>0</v>
      </c>
      <c r="U242">
        <f>CV242*I242</f>
        <v>0</v>
      </c>
      <c r="V242">
        <f>CW242*I242</f>
        <v>0</v>
      </c>
      <c r="W242">
        <f t="shared" si="111"/>
        <v>0</v>
      </c>
      <c r="X242">
        <f t="shared" si="112"/>
        <v>0</v>
      </c>
      <c r="Y242">
        <f t="shared" si="113"/>
        <v>0</v>
      </c>
      <c r="AA242">
        <v>41853493</v>
      </c>
      <c r="AB242">
        <f t="shared" si="114"/>
        <v>0</v>
      </c>
      <c r="AC242">
        <f>ROUND((ES242),2)</f>
        <v>0</v>
      </c>
      <c r="AD242">
        <f>ROUND((((ET242)-(EU242))+AE242),2)</f>
        <v>0</v>
      </c>
      <c r="AE242">
        <f>ROUND((EU242),2)</f>
        <v>0</v>
      </c>
      <c r="AF242">
        <f>ROUND((EV242),2)</f>
        <v>0</v>
      </c>
      <c r="AG242">
        <f t="shared" si="115"/>
        <v>0</v>
      </c>
      <c r="AH242">
        <f>(EW242)</f>
        <v>0</v>
      </c>
      <c r="AI242">
        <f>(EX242)</f>
        <v>0</v>
      </c>
      <c r="AJ242">
        <f t="shared" si="116"/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6</v>
      </c>
      <c r="BE242" t="s">
        <v>6</v>
      </c>
      <c r="BF242" t="s">
        <v>6</v>
      </c>
      <c r="BG242" t="s">
        <v>6</v>
      </c>
      <c r="BH242">
        <v>3</v>
      </c>
      <c r="BI242">
        <v>4</v>
      </c>
      <c r="BJ242" t="s">
        <v>6</v>
      </c>
      <c r="BM242">
        <v>0</v>
      </c>
      <c r="BN242">
        <v>0</v>
      </c>
      <c r="BO242" t="s">
        <v>6</v>
      </c>
      <c r="BP242">
        <v>0</v>
      </c>
      <c r="BQ242">
        <v>16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6</v>
      </c>
      <c r="BZ242">
        <v>0</v>
      </c>
      <c r="CA242">
        <v>0</v>
      </c>
      <c r="CB242" t="s">
        <v>6</v>
      </c>
      <c r="CE242">
        <v>0</v>
      </c>
      <c r="CF242">
        <v>0</v>
      </c>
      <c r="CG242">
        <v>0</v>
      </c>
      <c r="CM242">
        <v>0</v>
      </c>
      <c r="CN242" t="s">
        <v>6</v>
      </c>
      <c r="CO242">
        <v>0</v>
      </c>
      <c r="CP242">
        <f>0</f>
        <v>0</v>
      </c>
      <c r="CQ242">
        <f>0</f>
        <v>0</v>
      </c>
      <c r="CR242">
        <f>0</f>
        <v>0</v>
      </c>
      <c r="CS242">
        <f>0</f>
        <v>0</v>
      </c>
      <c r="CT242">
        <f>0</f>
        <v>0</v>
      </c>
      <c r="CU242">
        <f>0</f>
        <v>0</v>
      </c>
      <c r="CV242">
        <f>0</f>
        <v>0</v>
      </c>
      <c r="CW242">
        <f>0</f>
        <v>0</v>
      </c>
      <c r="CX242">
        <f>0</f>
        <v>0</v>
      </c>
      <c r="CY242">
        <f>0</f>
        <v>0</v>
      </c>
      <c r="CZ242">
        <f>0</f>
        <v>0</v>
      </c>
      <c r="DC242" t="s">
        <v>6</v>
      </c>
      <c r="DD242" t="s">
        <v>6</v>
      </c>
      <c r="DE242" t="s">
        <v>6</v>
      </c>
      <c r="DF242" t="s">
        <v>6</v>
      </c>
      <c r="DG242" t="s">
        <v>6</v>
      </c>
      <c r="DH242" t="s">
        <v>6</v>
      </c>
      <c r="DI242" t="s">
        <v>6</v>
      </c>
      <c r="DJ242" t="s">
        <v>6</v>
      </c>
      <c r="DK242" t="s">
        <v>6</v>
      </c>
      <c r="DL242" t="s">
        <v>6</v>
      </c>
      <c r="DM242" t="s">
        <v>6</v>
      </c>
      <c r="DN242">
        <v>0</v>
      </c>
      <c r="DO242">
        <v>0</v>
      </c>
      <c r="DP242">
        <v>1</v>
      </c>
      <c r="DQ242">
        <v>1</v>
      </c>
      <c r="DU242">
        <v>1013</v>
      </c>
      <c r="DV242" t="s">
        <v>30</v>
      </c>
      <c r="DW242" t="s">
        <v>30</v>
      </c>
      <c r="DX242">
        <v>1</v>
      </c>
      <c r="DZ242" t="s">
        <v>6</v>
      </c>
      <c r="EA242" t="s">
        <v>6</v>
      </c>
      <c r="EB242" t="s">
        <v>6</v>
      </c>
      <c r="EC242" t="s">
        <v>6</v>
      </c>
      <c r="EE242">
        <v>40604523</v>
      </c>
      <c r="EF242">
        <v>16</v>
      </c>
      <c r="EG242" t="s">
        <v>31</v>
      </c>
      <c r="EH242">
        <v>0</v>
      </c>
      <c r="EI242" t="s">
        <v>6</v>
      </c>
      <c r="EJ242">
        <v>4</v>
      </c>
      <c r="EK242">
        <v>0</v>
      </c>
      <c r="EL242" t="s">
        <v>32</v>
      </c>
      <c r="EM242" t="s">
        <v>33</v>
      </c>
      <c r="EO242" t="s">
        <v>6</v>
      </c>
      <c r="EQ242">
        <v>0</v>
      </c>
      <c r="ER242">
        <v>0</v>
      </c>
      <c r="ES242">
        <v>0</v>
      </c>
      <c r="ET242">
        <v>0</v>
      </c>
      <c r="EU242">
        <v>0</v>
      </c>
      <c r="EV242">
        <v>0</v>
      </c>
      <c r="EW242">
        <v>0</v>
      </c>
      <c r="EX242">
        <v>0</v>
      </c>
      <c r="FQ242">
        <v>0</v>
      </c>
      <c r="FR242">
        <f t="shared" si="117"/>
        <v>0</v>
      </c>
      <c r="FS242">
        <v>0</v>
      </c>
      <c r="FX242">
        <v>0</v>
      </c>
      <c r="FY242">
        <v>0</v>
      </c>
      <c r="GA242" t="s">
        <v>6</v>
      </c>
      <c r="GD242">
        <v>1</v>
      </c>
      <c r="GF242">
        <v>274903907</v>
      </c>
      <c r="GG242">
        <v>2</v>
      </c>
      <c r="GH242">
        <v>1</v>
      </c>
      <c r="GI242">
        <v>-2</v>
      </c>
      <c r="GJ242">
        <v>0</v>
      </c>
      <c r="GK242">
        <v>0</v>
      </c>
      <c r="GL242">
        <f t="shared" si="118"/>
        <v>0</v>
      </c>
      <c r="GM242">
        <f t="shared" si="119"/>
        <v>17.48</v>
      </c>
      <c r="GN242">
        <f t="shared" si="120"/>
        <v>0</v>
      </c>
      <c r="GO242">
        <f t="shared" si="121"/>
        <v>0</v>
      </c>
      <c r="GP242">
        <f t="shared" si="122"/>
        <v>17.48</v>
      </c>
      <c r="GR242">
        <v>0</v>
      </c>
      <c r="GS242">
        <v>3</v>
      </c>
      <c r="GT242">
        <v>0</v>
      </c>
      <c r="GU242" t="s">
        <v>6</v>
      </c>
      <c r="GV242">
        <f t="shared" si="123"/>
        <v>0</v>
      </c>
      <c r="GW242">
        <v>1</v>
      </c>
      <c r="GX242">
        <f t="shared" si="124"/>
        <v>0</v>
      </c>
      <c r="HA242">
        <v>0</v>
      </c>
      <c r="HB242">
        <v>0</v>
      </c>
      <c r="HC242">
        <f>0</f>
        <v>0</v>
      </c>
      <c r="HE242" t="s">
        <v>6</v>
      </c>
      <c r="HF242" t="s">
        <v>6</v>
      </c>
      <c r="HM242" t="s">
        <v>6</v>
      </c>
      <c r="HN242" t="s">
        <v>6</v>
      </c>
      <c r="HO242" t="s">
        <v>6</v>
      </c>
      <c r="HP242" t="s">
        <v>6</v>
      </c>
      <c r="HQ242" t="s">
        <v>6</v>
      </c>
      <c r="IK242">
        <v>0</v>
      </c>
    </row>
    <row r="243" spans="1:245">
      <c r="A243">
        <v>17</v>
      </c>
      <c r="B243">
        <v>1</v>
      </c>
      <c r="C243">
        <f>ROW(SmtRes!A55)</f>
        <v>55</v>
      </c>
      <c r="D243">
        <f>ROW(EtalonRes!A55)</f>
        <v>55</v>
      </c>
      <c r="E243" t="s">
        <v>176</v>
      </c>
      <c r="F243" t="s">
        <v>177</v>
      </c>
      <c r="G243" t="s">
        <v>178</v>
      </c>
      <c r="H243" t="s">
        <v>20</v>
      </c>
      <c r="I243">
        <v>12</v>
      </c>
      <c r="J243">
        <v>0</v>
      </c>
      <c r="K243">
        <v>12</v>
      </c>
      <c r="O243">
        <f>ROUND(CP243,2)</f>
        <v>11139.78</v>
      </c>
      <c r="P243">
        <f>SUMIF(SmtRes!AQ48:'SmtRes'!AQ55,"=1",SmtRes!DF48:'SmtRes'!DF55)</f>
        <v>2099.02</v>
      </c>
      <c r="Q243">
        <f>SUMIF(SmtRes!AQ48:'SmtRes'!AQ55,"=1",SmtRes!DG48:'SmtRes'!DG55)</f>
        <v>857.6</v>
      </c>
      <c r="R243">
        <f>SUMIF(SmtRes!AQ48:'SmtRes'!AQ55,"=1",SmtRes!DH48:'SmtRes'!DH55)</f>
        <v>362.91999999999996</v>
      </c>
      <c r="S243">
        <f>SUMIF(SmtRes!AQ48:'SmtRes'!AQ55,"=1",SmtRes!DI48:'SmtRes'!DI55)</f>
        <v>7820.24</v>
      </c>
      <c r="T243">
        <f t="shared" si="110"/>
        <v>0</v>
      </c>
      <c r="U243">
        <f>SUMIF(SmtRes!AQ48:'SmtRes'!AQ55,"=1",SmtRes!CV48:'SmtRes'!CV55)</f>
        <v>25.8</v>
      </c>
      <c r="V243">
        <f>SUMIF(SmtRes!AQ48:'SmtRes'!AQ55,"=1",SmtRes!CW48:'SmtRes'!CW55)</f>
        <v>1.0799999999999998</v>
      </c>
      <c r="W243">
        <f t="shared" si="111"/>
        <v>0</v>
      </c>
      <c r="X243">
        <f t="shared" si="112"/>
        <v>7937.67</v>
      </c>
      <c r="Y243">
        <f t="shared" si="113"/>
        <v>4173.41</v>
      </c>
      <c r="AA243">
        <v>41853493</v>
      </c>
      <c r="AB243">
        <f t="shared" si="114"/>
        <v>885.52</v>
      </c>
      <c r="AC243">
        <f>ROUND((SUM(SmtRes!BQ48:'SmtRes'!BQ55)),2)</f>
        <v>162.69</v>
      </c>
      <c r="AD243">
        <f>ROUND((((SUM(SmtRes!BR48:'SmtRes'!BR55))-(SUM(SmtRes!BS48:'SmtRes'!BS55)))+AE243),2)</f>
        <v>71.14</v>
      </c>
      <c r="AE243">
        <f>ROUND((SUM(SmtRes!BS48:'SmtRes'!BS55)),2)</f>
        <v>30.24</v>
      </c>
      <c r="AF243">
        <f>ROUND((SUM(SmtRes!BT48:'SmtRes'!BT55)),2)</f>
        <v>651.69000000000005</v>
      </c>
      <c r="AG243">
        <f t="shared" si="115"/>
        <v>0</v>
      </c>
      <c r="AH243">
        <f>(SUM(SmtRes!BU48:'SmtRes'!BU55))</f>
        <v>2.15</v>
      </c>
      <c r="AI243">
        <f>(SUM(SmtRes!BV48:'SmtRes'!BV55))</f>
        <v>9.0000000000000011E-2</v>
      </c>
      <c r="AJ243">
        <f t="shared" si="116"/>
        <v>0</v>
      </c>
      <c r="AK243">
        <v>915.76450000000011</v>
      </c>
      <c r="AL243">
        <v>162.69170000000003</v>
      </c>
      <c r="AM243">
        <v>71.143249999999995</v>
      </c>
      <c r="AN243">
        <v>30.243050000000004</v>
      </c>
      <c r="AO243">
        <v>651.68650000000002</v>
      </c>
      <c r="AP243">
        <v>0</v>
      </c>
      <c r="AQ243">
        <v>2.15</v>
      </c>
      <c r="AR243">
        <v>9.0000000000000011E-2</v>
      </c>
      <c r="AS243">
        <v>0</v>
      </c>
      <c r="AT243">
        <v>97</v>
      </c>
      <c r="AU243">
        <v>51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6</v>
      </c>
      <c r="BE243" t="s">
        <v>6</v>
      </c>
      <c r="BF243" t="s">
        <v>6</v>
      </c>
      <c r="BG243" t="s">
        <v>6</v>
      </c>
      <c r="BH243">
        <v>0</v>
      </c>
      <c r="BI243">
        <v>2</v>
      </c>
      <c r="BJ243" t="s">
        <v>179</v>
      </c>
      <c r="BM243">
        <v>108001</v>
      </c>
      <c r="BN243">
        <v>0</v>
      </c>
      <c r="BO243" t="s">
        <v>6</v>
      </c>
      <c r="BP243">
        <v>0</v>
      </c>
      <c r="BQ243">
        <v>3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6</v>
      </c>
      <c r="BZ243">
        <v>97</v>
      </c>
      <c r="CA243">
        <v>51</v>
      </c>
      <c r="CB243" t="s">
        <v>6</v>
      </c>
      <c r="CE243">
        <v>0</v>
      </c>
      <c r="CF243">
        <v>0</v>
      </c>
      <c r="CG243">
        <v>0</v>
      </c>
      <c r="CM243">
        <v>0</v>
      </c>
      <c r="CN243" t="s">
        <v>6</v>
      </c>
      <c r="CO243">
        <v>0</v>
      </c>
      <c r="CP243">
        <f>(P243+Q243+S243+R243)</f>
        <v>11139.78</v>
      </c>
      <c r="CQ243">
        <f>SUMIF(SmtRes!AQ48:'SmtRes'!AQ55,"=1",SmtRes!AA48:'SmtRes'!AA55)</f>
        <v>1186.0899999999999</v>
      </c>
      <c r="CR243">
        <f>SUMIF(SmtRes!AQ48:'SmtRes'!AQ55,"=1",SmtRes!AB48:'SmtRes'!AB55)</f>
        <v>2072.75</v>
      </c>
      <c r="CS243">
        <f>SUMIF(SmtRes!AQ48:'SmtRes'!AQ55,"=1",SmtRes!AC48:'SmtRes'!AC55)</f>
        <v>979.45</v>
      </c>
      <c r="CT243">
        <f>SUMIF(SmtRes!AQ48:'SmtRes'!AQ55,"=1",SmtRes!AD48:'SmtRes'!AD55)</f>
        <v>303.11</v>
      </c>
      <c r="CU243">
        <f>AG243</f>
        <v>0</v>
      </c>
      <c r="CV243">
        <f>SUMIF(SmtRes!AQ48:'SmtRes'!AQ55,"=1",SmtRes!BU48:'SmtRes'!BU55)</f>
        <v>2.15</v>
      </c>
      <c r="CW243">
        <f>SUMIF(SmtRes!AQ48:'SmtRes'!AQ55,"=1",SmtRes!BV48:'SmtRes'!BV55)</f>
        <v>9.0000000000000011E-2</v>
      </c>
      <c r="CX243">
        <f>AJ243</f>
        <v>0</v>
      </c>
      <c r="CY243">
        <f>(((S243+R243)*AT243)/100)</f>
        <v>7937.6652000000004</v>
      </c>
      <c r="CZ243">
        <f>(((S243+R243)*AU243)/100)</f>
        <v>4173.4115999999995</v>
      </c>
      <c r="DC243" t="s">
        <v>6</v>
      </c>
      <c r="DD243" t="s">
        <v>6</v>
      </c>
      <c r="DE243" t="s">
        <v>6</v>
      </c>
      <c r="DF243" t="s">
        <v>6</v>
      </c>
      <c r="DG243" t="s">
        <v>6</v>
      </c>
      <c r="DH243" t="s">
        <v>6</v>
      </c>
      <c r="DI243" t="s">
        <v>6</v>
      </c>
      <c r="DJ243" t="s">
        <v>6</v>
      </c>
      <c r="DK243" t="s">
        <v>6</v>
      </c>
      <c r="DL243" t="s">
        <v>6</v>
      </c>
      <c r="DM243" t="s">
        <v>6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20</v>
      </c>
      <c r="DW243" t="s">
        <v>20</v>
      </c>
      <c r="DX243">
        <v>1</v>
      </c>
      <c r="DZ243" t="s">
        <v>6</v>
      </c>
      <c r="EA243" t="s">
        <v>6</v>
      </c>
      <c r="EB243" t="s">
        <v>6</v>
      </c>
      <c r="EC243" t="s">
        <v>6</v>
      </c>
      <c r="EE243">
        <v>40604465</v>
      </c>
      <c r="EF243">
        <v>3</v>
      </c>
      <c r="EG243" t="s">
        <v>22</v>
      </c>
      <c r="EH243">
        <v>0</v>
      </c>
      <c r="EI243" t="s">
        <v>6</v>
      </c>
      <c r="EJ243">
        <v>2</v>
      </c>
      <c r="EK243">
        <v>108001</v>
      </c>
      <c r="EL243" t="s">
        <v>23</v>
      </c>
      <c r="EM243" t="s">
        <v>24</v>
      </c>
      <c r="EO243" t="s">
        <v>6</v>
      </c>
      <c r="EQ243">
        <v>0</v>
      </c>
      <c r="ER243">
        <v>0</v>
      </c>
      <c r="ES243">
        <v>0</v>
      </c>
      <c r="ET243">
        <v>0</v>
      </c>
      <c r="EU243">
        <v>0</v>
      </c>
      <c r="EV243">
        <v>0</v>
      </c>
      <c r="EW243">
        <v>2.15</v>
      </c>
      <c r="EX243">
        <v>0.09</v>
      </c>
      <c r="EY243">
        <v>0</v>
      </c>
      <c r="FQ243">
        <v>0</v>
      </c>
      <c r="FR243">
        <f t="shared" si="117"/>
        <v>0</v>
      </c>
      <c r="FS243">
        <v>0</v>
      </c>
      <c r="FX243">
        <v>97</v>
      </c>
      <c r="FY243">
        <v>51</v>
      </c>
      <c r="GA243" t="s">
        <v>6</v>
      </c>
      <c r="GD243">
        <v>1</v>
      </c>
      <c r="GF243">
        <v>-1259839563</v>
      </c>
      <c r="GG243">
        <v>2</v>
      </c>
      <c r="GH243">
        <v>1</v>
      </c>
      <c r="GI243">
        <v>-2</v>
      </c>
      <c r="GJ243">
        <v>0</v>
      </c>
      <c r="GK243">
        <v>0</v>
      </c>
      <c r="GL243">
        <f t="shared" si="118"/>
        <v>0</v>
      </c>
      <c r="GM243">
        <f t="shared" si="119"/>
        <v>23250.86</v>
      </c>
      <c r="GN243">
        <f t="shared" si="120"/>
        <v>0</v>
      </c>
      <c r="GO243">
        <f t="shared" si="121"/>
        <v>23250.86</v>
      </c>
      <c r="GP243">
        <f t="shared" si="122"/>
        <v>0</v>
      </c>
      <c r="GR243">
        <v>0</v>
      </c>
      <c r="GS243">
        <v>3</v>
      </c>
      <c r="GT243">
        <v>0</v>
      </c>
      <c r="GU243" t="s">
        <v>6</v>
      </c>
      <c r="GV243">
        <f t="shared" si="123"/>
        <v>0</v>
      </c>
      <c r="GW243">
        <v>1</v>
      </c>
      <c r="GX243">
        <f t="shared" si="124"/>
        <v>0</v>
      </c>
      <c r="HA243">
        <v>0</v>
      </c>
      <c r="HB243">
        <v>0</v>
      </c>
      <c r="HC243">
        <f>GV243*GW243</f>
        <v>0</v>
      </c>
      <c r="HE243" t="s">
        <v>6</v>
      </c>
      <c r="HF243" t="s">
        <v>6</v>
      </c>
      <c r="HM243" t="s">
        <v>6</v>
      </c>
      <c r="HN243" t="s">
        <v>25</v>
      </c>
      <c r="HO243" t="s">
        <v>26</v>
      </c>
      <c r="HP243" t="s">
        <v>23</v>
      </c>
      <c r="HQ243" t="s">
        <v>23</v>
      </c>
      <c r="IK243">
        <v>0</v>
      </c>
    </row>
    <row r="244" spans="1:245">
      <c r="A244">
        <v>18</v>
      </c>
      <c r="B244">
        <v>1</v>
      </c>
      <c r="C244">
        <v>55</v>
      </c>
      <c r="E244" t="s">
        <v>180</v>
      </c>
      <c r="F244" t="s">
        <v>28</v>
      </c>
      <c r="G244" t="s">
        <v>29</v>
      </c>
      <c r="H244" t="s">
        <v>30</v>
      </c>
      <c r="I244">
        <f>J244</f>
        <v>2</v>
      </c>
      <c r="J244">
        <v>2</v>
      </c>
      <c r="K244">
        <v>2</v>
      </c>
      <c r="O244">
        <f>ROUND(P244,2)</f>
        <v>156.4</v>
      </c>
      <c r="P244">
        <f>ROUND(ROUND(ROUND(SUMIF(SmtRes!AQ48:'SmtRes'!AQ55,"=1",SmtRes!CU48:'SmtRes'!CU55),2),2)*I244/100,2)</f>
        <v>156.4</v>
      </c>
      <c r="Q244">
        <f>ROUND(CR244*I244,2)</f>
        <v>0</v>
      </c>
      <c r="R244">
        <f>ROUND(CS244*I244,2)</f>
        <v>0</v>
      </c>
      <c r="S244">
        <f>ROUND(CT244*I244,2)</f>
        <v>0</v>
      </c>
      <c r="T244">
        <f t="shared" si="110"/>
        <v>0</v>
      </c>
      <c r="U244">
        <f>CV244*I244</f>
        <v>0</v>
      </c>
      <c r="V244">
        <f>CW244*I244</f>
        <v>0</v>
      </c>
      <c r="W244">
        <f t="shared" si="111"/>
        <v>0</v>
      </c>
      <c r="X244">
        <f t="shared" si="112"/>
        <v>0</v>
      </c>
      <c r="Y244">
        <f t="shared" si="113"/>
        <v>0</v>
      </c>
      <c r="AA244">
        <v>41853493</v>
      </c>
      <c r="AB244">
        <f t="shared" si="114"/>
        <v>0</v>
      </c>
      <c r="AC244">
        <f>ROUND((ES244),2)</f>
        <v>0</v>
      </c>
      <c r="AD244">
        <f>ROUND((((ET244)-(EU244))+AE244),2)</f>
        <v>0</v>
      </c>
      <c r="AE244">
        <f>ROUND((EU244),2)</f>
        <v>0</v>
      </c>
      <c r="AF244">
        <f>ROUND((EV244),2)</f>
        <v>0</v>
      </c>
      <c r="AG244">
        <f t="shared" si="115"/>
        <v>0</v>
      </c>
      <c r="AH244">
        <f>(EW244)</f>
        <v>0</v>
      </c>
      <c r="AI244">
        <f>(EX244)</f>
        <v>0</v>
      </c>
      <c r="AJ244">
        <f t="shared" si="116"/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6</v>
      </c>
      <c r="BE244" t="s">
        <v>6</v>
      </c>
      <c r="BF244" t="s">
        <v>6</v>
      </c>
      <c r="BG244" t="s">
        <v>6</v>
      </c>
      <c r="BH244">
        <v>3</v>
      </c>
      <c r="BI244">
        <v>4</v>
      </c>
      <c r="BJ244" t="s">
        <v>6</v>
      </c>
      <c r="BM244">
        <v>0</v>
      </c>
      <c r="BN244">
        <v>0</v>
      </c>
      <c r="BO244" t="s">
        <v>6</v>
      </c>
      <c r="BP244">
        <v>0</v>
      </c>
      <c r="BQ244">
        <v>16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6</v>
      </c>
      <c r="BZ244">
        <v>0</v>
      </c>
      <c r="CA244">
        <v>0</v>
      </c>
      <c r="CB244" t="s">
        <v>6</v>
      </c>
      <c r="CE244">
        <v>0</v>
      </c>
      <c r="CF244">
        <v>0</v>
      </c>
      <c r="CG244">
        <v>0</v>
      </c>
      <c r="CM244">
        <v>0</v>
      </c>
      <c r="CN244" t="s">
        <v>6</v>
      </c>
      <c r="CO244">
        <v>0</v>
      </c>
      <c r="CP244">
        <f>0</f>
        <v>0</v>
      </c>
      <c r="CQ244">
        <f>0</f>
        <v>0</v>
      </c>
      <c r="CR244">
        <f>0</f>
        <v>0</v>
      </c>
      <c r="CS244">
        <f>0</f>
        <v>0</v>
      </c>
      <c r="CT244">
        <f>0</f>
        <v>0</v>
      </c>
      <c r="CU244">
        <f>0</f>
        <v>0</v>
      </c>
      <c r="CV244">
        <f>0</f>
        <v>0</v>
      </c>
      <c r="CW244">
        <f>0</f>
        <v>0</v>
      </c>
      <c r="CX244">
        <f>0</f>
        <v>0</v>
      </c>
      <c r="CY244">
        <f>0</f>
        <v>0</v>
      </c>
      <c r="CZ244">
        <f>0</f>
        <v>0</v>
      </c>
      <c r="DC244" t="s">
        <v>6</v>
      </c>
      <c r="DD244" t="s">
        <v>6</v>
      </c>
      <c r="DE244" t="s">
        <v>6</v>
      </c>
      <c r="DF244" t="s">
        <v>6</v>
      </c>
      <c r="DG244" t="s">
        <v>6</v>
      </c>
      <c r="DH244" t="s">
        <v>6</v>
      </c>
      <c r="DI244" t="s">
        <v>6</v>
      </c>
      <c r="DJ244" t="s">
        <v>6</v>
      </c>
      <c r="DK244" t="s">
        <v>6</v>
      </c>
      <c r="DL244" t="s">
        <v>6</v>
      </c>
      <c r="DM244" t="s">
        <v>6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30</v>
      </c>
      <c r="DW244" t="s">
        <v>30</v>
      </c>
      <c r="DX244">
        <v>1</v>
      </c>
      <c r="DZ244" t="s">
        <v>6</v>
      </c>
      <c r="EA244" t="s">
        <v>6</v>
      </c>
      <c r="EB244" t="s">
        <v>6</v>
      </c>
      <c r="EC244" t="s">
        <v>6</v>
      </c>
      <c r="EE244">
        <v>40604523</v>
      </c>
      <c r="EF244">
        <v>16</v>
      </c>
      <c r="EG244" t="s">
        <v>31</v>
      </c>
      <c r="EH244">
        <v>0</v>
      </c>
      <c r="EI244" t="s">
        <v>6</v>
      </c>
      <c r="EJ244">
        <v>4</v>
      </c>
      <c r="EK244">
        <v>0</v>
      </c>
      <c r="EL244" t="s">
        <v>32</v>
      </c>
      <c r="EM244" t="s">
        <v>33</v>
      </c>
      <c r="EO244" t="s">
        <v>6</v>
      </c>
      <c r="EQ244">
        <v>0</v>
      </c>
      <c r="ER244">
        <v>0</v>
      </c>
      <c r="ES244">
        <v>0</v>
      </c>
      <c r="ET244">
        <v>0</v>
      </c>
      <c r="EU244">
        <v>0</v>
      </c>
      <c r="EV244">
        <v>0</v>
      </c>
      <c r="EW244">
        <v>0</v>
      </c>
      <c r="EX244">
        <v>0</v>
      </c>
      <c r="FQ244">
        <v>0</v>
      </c>
      <c r="FR244">
        <f t="shared" si="117"/>
        <v>0</v>
      </c>
      <c r="FS244">
        <v>0</v>
      </c>
      <c r="FX244">
        <v>0</v>
      </c>
      <c r="FY244">
        <v>0</v>
      </c>
      <c r="GA244" t="s">
        <v>6</v>
      </c>
      <c r="GD244">
        <v>1</v>
      </c>
      <c r="GF244">
        <v>274903907</v>
      </c>
      <c r="GG244">
        <v>2</v>
      </c>
      <c r="GH244">
        <v>1</v>
      </c>
      <c r="GI244">
        <v>-2</v>
      </c>
      <c r="GJ244">
        <v>0</v>
      </c>
      <c r="GK244">
        <v>0</v>
      </c>
      <c r="GL244">
        <f t="shared" si="118"/>
        <v>0</v>
      </c>
      <c r="GM244">
        <f t="shared" si="119"/>
        <v>156.4</v>
      </c>
      <c r="GN244">
        <f t="shared" si="120"/>
        <v>0</v>
      </c>
      <c r="GO244">
        <f t="shared" si="121"/>
        <v>0</v>
      </c>
      <c r="GP244">
        <f t="shared" si="122"/>
        <v>156.4</v>
      </c>
      <c r="GR244">
        <v>0</v>
      </c>
      <c r="GS244">
        <v>3</v>
      </c>
      <c r="GT244">
        <v>0</v>
      </c>
      <c r="GU244" t="s">
        <v>6</v>
      </c>
      <c r="GV244">
        <f t="shared" si="123"/>
        <v>0</v>
      </c>
      <c r="GW244">
        <v>1</v>
      </c>
      <c r="GX244">
        <f t="shared" si="124"/>
        <v>0</v>
      </c>
      <c r="HA244">
        <v>0</v>
      </c>
      <c r="HB244">
        <v>0</v>
      </c>
      <c r="HC244">
        <f>0</f>
        <v>0</v>
      </c>
      <c r="HE244" t="s">
        <v>6</v>
      </c>
      <c r="HF244" t="s">
        <v>6</v>
      </c>
      <c r="HM244" t="s">
        <v>6</v>
      </c>
      <c r="HN244" t="s">
        <v>6</v>
      </c>
      <c r="HO244" t="s">
        <v>6</v>
      </c>
      <c r="HP244" t="s">
        <v>6</v>
      </c>
      <c r="HQ244" t="s">
        <v>6</v>
      </c>
      <c r="IK244">
        <v>0</v>
      </c>
    </row>
    <row r="245" spans="1:245">
      <c r="A245">
        <v>17</v>
      </c>
      <c r="B245">
        <v>1</v>
      </c>
      <c r="C245">
        <f>ROW(SmtRes!A74)</f>
        <v>74</v>
      </c>
      <c r="D245">
        <f>ROW(EtalonRes!A74)</f>
        <v>74</v>
      </c>
      <c r="E245" t="s">
        <v>181</v>
      </c>
      <c r="F245" t="s">
        <v>182</v>
      </c>
      <c r="G245" t="s">
        <v>183</v>
      </c>
      <c r="H245" t="s">
        <v>20</v>
      </c>
      <c r="I245">
        <v>8</v>
      </c>
      <c r="J245">
        <v>0</v>
      </c>
      <c r="K245">
        <v>8</v>
      </c>
      <c r="O245">
        <f>ROUND(CP245,2)</f>
        <v>16295.42</v>
      </c>
      <c r="P245">
        <f>SUMIF(SmtRes!AQ56:'SmtRes'!AQ74,"=1",SmtRes!DF56:'SmtRes'!DF74)</f>
        <v>6514.0699999999988</v>
      </c>
      <c r="Q245">
        <f>SUMIF(SmtRes!AQ56:'SmtRes'!AQ74,"=1",SmtRes!DG56:'SmtRes'!DG74)</f>
        <v>242.28999999999996</v>
      </c>
      <c r="R245">
        <f>SUMIF(SmtRes!AQ56:'SmtRes'!AQ74,"=1",SmtRes!DH56:'SmtRes'!DH74)</f>
        <v>56.82</v>
      </c>
      <c r="S245">
        <f>SUMIF(SmtRes!AQ56:'SmtRes'!AQ74,"=1",SmtRes!DI56:'SmtRes'!DI74)</f>
        <v>9482.24</v>
      </c>
      <c r="T245">
        <f t="shared" si="110"/>
        <v>0</v>
      </c>
      <c r="U245">
        <f>SUMIF(SmtRes!AQ56:'SmtRes'!AQ74,"=1",SmtRes!CV56:'SmtRes'!CV74)</f>
        <v>32</v>
      </c>
      <c r="V245">
        <f>SUMIF(SmtRes!AQ56:'SmtRes'!AQ74,"=1",SmtRes!CW56:'SmtRes'!CW74)</f>
        <v>4.7840000000000007</v>
      </c>
      <c r="W245">
        <f t="shared" si="111"/>
        <v>0</v>
      </c>
      <c r="X245">
        <f t="shared" si="112"/>
        <v>9252.89</v>
      </c>
      <c r="Y245">
        <f t="shared" si="113"/>
        <v>4864.92</v>
      </c>
      <c r="AA245">
        <v>41853493</v>
      </c>
      <c r="AB245">
        <f t="shared" si="114"/>
        <v>1951.92</v>
      </c>
      <c r="AC245">
        <f>ROUND((SUM(SmtRes!BQ56:'SmtRes'!BQ74)),2)</f>
        <v>736.36</v>
      </c>
      <c r="AD245">
        <f>ROUND((((SUM(SmtRes!BR56:'SmtRes'!BR74))-(SUM(SmtRes!BS56:'SmtRes'!BS74)))+AE245),2)</f>
        <v>30.28</v>
      </c>
      <c r="AE245">
        <f>ROUND((SUM(SmtRes!BS56:'SmtRes'!BS74)),2)</f>
        <v>7.1</v>
      </c>
      <c r="AF245">
        <f>ROUND((SUM(SmtRes!BT56:'SmtRes'!BT74)),2)</f>
        <v>1185.28</v>
      </c>
      <c r="AG245">
        <f t="shared" si="115"/>
        <v>0</v>
      </c>
      <c r="AH245">
        <f>(SUM(SmtRes!BU56:'SmtRes'!BU74))</f>
        <v>4</v>
      </c>
      <c r="AI245">
        <f>(SUM(SmtRes!BV56:'SmtRes'!BV74))</f>
        <v>0.02</v>
      </c>
      <c r="AJ245">
        <f t="shared" si="116"/>
        <v>0</v>
      </c>
      <c r="AK245">
        <v>1959.0269599999999</v>
      </c>
      <c r="AL245">
        <v>736.35952000000009</v>
      </c>
      <c r="AM245">
        <v>30.284739999999999</v>
      </c>
      <c r="AN245">
        <v>7.1027000000000005</v>
      </c>
      <c r="AO245">
        <v>1185.28</v>
      </c>
      <c r="AP245">
        <v>0</v>
      </c>
      <c r="AQ245">
        <v>4</v>
      </c>
      <c r="AR245">
        <v>0.02</v>
      </c>
      <c r="AS245">
        <v>0</v>
      </c>
      <c r="AT245">
        <v>97</v>
      </c>
      <c r="AU245">
        <v>51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6</v>
      </c>
      <c r="BE245" t="s">
        <v>6</v>
      </c>
      <c r="BF245" t="s">
        <v>6</v>
      </c>
      <c r="BG245" t="s">
        <v>6</v>
      </c>
      <c r="BH245">
        <v>0</v>
      </c>
      <c r="BI245">
        <v>2</v>
      </c>
      <c r="BJ245" t="s">
        <v>184</v>
      </c>
      <c r="BM245">
        <v>108001</v>
      </c>
      <c r="BN245">
        <v>0</v>
      </c>
      <c r="BO245" t="s">
        <v>6</v>
      </c>
      <c r="BP245">
        <v>0</v>
      </c>
      <c r="BQ245">
        <v>3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6</v>
      </c>
      <c r="BZ245">
        <v>97</v>
      </c>
      <c r="CA245">
        <v>51</v>
      </c>
      <c r="CB245" t="s">
        <v>6</v>
      </c>
      <c r="CE245">
        <v>0</v>
      </c>
      <c r="CF245">
        <v>0</v>
      </c>
      <c r="CG245">
        <v>0</v>
      </c>
      <c r="CM245">
        <v>0</v>
      </c>
      <c r="CN245" t="s">
        <v>6</v>
      </c>
      <c r="CO245">
        <v>0</v>
      </c>
      <c r="CP245">
        <f>(P245+Q245+S245+R245)</f>
        <v>16295.419999999998</v>
      </c>
      <c r="CQ245">
        <f>SUMIF(SmtRes!AQ56:'SmtRes'!AQ74,"=1",SmtRes!AA56:'SmtRes'!AA74)</f>
        <v>119683.65999999999</v>
      </c>
      <c r="CR245">
        <f>SUMIF(SmtRes!AQ56:'SmtRes'!AQ74,"=1",SmtRes!AB56:'SmtRes'!AB74)</f>
        <v>2036.35</v>
      </c>
      <c r="CS245">
        <f>SUMIF(SmtRes!AQ56:'SmtRes'!AQ74,"=1",SmtRes!AC56:'SmtRes'!AC74)</f>
        <v>710.27</v>
      </c>
      <c r="CT245">
        <f>SUMIF(SmtRes!AQ56:'SmtRes'!AQ74,"=1",SmtRes!AD56:'SmtRes'!AD74)</f>
        <v>296.32</v>
      </c>
      <c r="CU245">
        <f>AG245</f>
        <v>0</v>
      </c>
      <c r="CV245">
        <f>SUMIF(SmtRes!AQ56:'SmtRes'!AQ74,"=1",SmtRes!BU56:'SmtRes'!BU74)</f>
        <v>4</v>
      </c>
      <c r="CW245">
        <f>SUMIF(SmtRes!AQ56:'SmtRes'!AQ74,"=1",SmtRes!BV56:'SmtRes'!BV74)</f>
        <v>0.02</v>
      </c>
      <c r="CX245">
        <f>AJ245</f>
        <v>0</v>
      </c>
      <c r="CY245">
        <f>(((S245+R245)*AT245)/100)</f>
        <v>9252.8881999999994</v>
      </c>
      <c r="CZ245">
        <f>(((S245+R245)*AU245)/100)</f>
        <v>4864.9206000000004</v>
      </c>
      <c r="DC245" t="s">
        <v>6</v>
      </c>
      <c r="DD245" t="s">
        <v>6</v>
      </c>
      <c r="DE245" t="s">
        <v>6</v>
      </c>
      <c r="DF245" t="s">
        <v>6</v>
      </c>
      <c r="DG245" t="s">
        <v>6</v>
      </c>
      <c r="DH245" t="s">
        <v>6</v>
      </c>
      <c r="DI245" t="s">
        <v>6</v>
      </c>
      <c r="DJ245" t="s">
        <v>6</v>
      </c>
      <c r="DK245" t="s">
        <v>6</v>
      </c>
      <c r="DL245" t="s">
        <v>6</v>
      </c>
      <c r="DM245" t="s">
        <v>6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20</v>
      </c>
      <c r="DW245" t="s">
        <v>20</v>
      </c>
      <c r="DX245">
        <v>1</v>
      </c>
      <c r="DZ245" t="s">
        <v>6</v>
      </c>
      <c r="EA245" t="s">
        <v>6</v>
      </c>
      <c r="EB245" t="s">
        <v>6</v>
      </c>
      <c r="EC245" t="s">
        <v>6</v>
      </c>
      <c r="EE245">
        <v>40604465</v>
      </c>
      <c r="EF245">
        <v>3</v>
      </c>
      <c r="EG245" t="s">
        <v>22</v>
      </c>
      <c r="EH245">
        <v>0</v>
      </c>
      <c r="EI245" t="s">
        <v>6</v>
      </c>
      <c r="EJ245">
        <v>2</v>
      </c>
      <c r="EK245">
        <v>108001</v>
      </c>
      <c r="EL245" t="s">
        <v>23</v>
      </c>
      <c r="EM245" t="s">
        <v>24</v>
      </c>
      <c r="EO245" t="s">
        <v>6</v>
      </c>
      <c r="EQ245">
        <v>0</v>
      </c>
      <c r="ER245">
        <v>0</v>
      </c>
      <c r="ES245">
        <v>0</v>
      </c>
      <c r="ET245">
        <v>0</v>
      </c>
      <c r="EU245">
        <v>0</v>
      </c>
      <c r="EV245">
        <v>0</v>
      </c>
      <c r="EW245">
        <v>4</v>
      </c>
      <c r="EX245">
        <v>0.02</v>
      </c>
      <c r="EY245">
        <v>0</v>
      </c>
      <c r="FQ245">
        <v>0</v>
      </c>
      <c r="FR245">
        <f t="shared" si="117"/>
        <v>0</v>
      </c>
      <c r="FS245">
        <v>0</v>
      </c>
      <c r="FX245">
        <v>97</v>
      </c>
      <c r="FY245">
        <v>51</v>
      </c>
      <c r="GA245" t="s">
        <v>6</v>
      </c>
      <c r="GD245">
        <v>1</v>
      </c>
      <c r="GF245">
        <v>1629625729</v>
      </c>
      <c r="GG245">
        <v>2</v>
      </c>
      <c r="GH245">
        <v>1</v>
      </c>
      <c r="GI245">
        <v>-2</v>
      </c>
      <c r="GJ245">
        <v>0</v>
      </c>
      <c r="GK245">
        <v>0</v>
      </c>
      <c r="GL245">
        <f t="shared" si="118"/>
        <v>0</v>
      </c>
      <c r="GM245">
        <f t="shared" si="119"/>
        <v>30413.23</v>
      </c>
      <c r="GN245">
        <f t="shared" si="120"/>
        <v>0</v>
      </c>
      <c r="GO245">
        <f t="shared" si="121"/>
        <v>30413.23</v>
      </c>
      <c r="GP245">
        <f t="shared" si="122"/>
        <v>0</v>
      </c>
      <c r="GR245">
        <v>0</v>
      </c>
      <c r="GS245">
        <v>3</v>
      </c>
      <c r="GT245">
        <v>0</v>
      </c>
      <c r="GU245" t="s">
        <v>6</v>
      </c>
      <c r="GV245">
        <f t="shared" si="123"/>
        <v>0</v>
      </c>
      <c r="GW245">
        <v>1</v>
      </c>
      <c r="GX245">
        <f t="shared" si="124"/>
        <v>0</v>
      </c>
      <c r="HA245">
        <v>0</v>
      </c>
      <c r="HB245">
        <v>0</v>
      </c>
      <c r="HC245">
        <f>GV245*GW245</f>
        <v>0</v>
      </c>
      <c r="HE245" t="s">
        <v>6</v>
      </c>
      <c r="HF245" t="s">
        <v>6</v>
      </c>
      <c r="HM245" t="s">
        <v>6</v>
      </c>
      <c r="HN245" t="s">
        <v>25</v>
      </c>
      <c r="HO245" t="s">
        <v>26</v>
      </c>
      <c r="HP245" t="s">
        <v>23</v>
      </c>
      <c r="HQ245" t="s">
        <v>23</v>
      </c>
      <c r="IK245">
        <v>0</v>
      </c>
    </row>
    <row r="246" spans="1:245">
      <c r="A246">
        <v>18</v>
      </c>
      <c r="B246">
        <v>1</v>
      </c>
      <c r="C246">
        <v>74</v>
      </c>
      <c r="E246" t="s">
        <v>185</v>
      </c>
      <c r="F246" t="s">
        <v>28</v>
      </c>
      <c r="G246" t="s">
        <v>29</v>
      </c>
      <c r="H246" t="s">
        <v>30</v>
      </c>
      <c r="I246">
        <f>J246</f>
        <v>2</v>
      </c>
      <c r="J246">
        <v>2</v>
      </c>
      <c r="K246">
        <v>2</v>
      </c>
      <c r="O246">
        <f>ROUND(P246,2)</f>
        <v>189.64</v>
      </c>
      <c r="P246">
        <f>ROUND(ROUND(ROUND(SUMIF(SmtRes!AQ56:'SmtRes'!AQ74,"=1",SmtRes!CU56:'SmtRes'!CU74),2),2)*I246/100,2)</f>
        <v>189.64</v>
      </c>
      <c r="Q246">
        <f>ROUND(CR246*I246,2)</f>
        <v>0</v>
      </c>
      <c r="R246">
        <f>ROUND(CS246*I246,2)</f>
        <v>0</v>
      </c>
      <c r="S246">
        <f>ROUND(CT246*I246,2)</f>
        <v>0</v>
      </c>
      <c r="T246">
        <f t="shared" si="110"/>
        <v>0</v>
      </c>
      <c r="U246">
        <f>CV246*I246</f>
        <v>0</v>
      </c>
      <c r="V246">
        <f>CW246*I246</f>
        <v>0</v>
      </c>
      <c r="W246">
        <f t="shared" si="111"/>
        <v>0</v>
      </c>
      <c r="X246">
        <f t="shared" si="112"/>
        <v>0</v>
      </c>
      <c r="Y246">
        <f t="shared" si="113"/>
        <v>0</v>
      </c>
      <c r="AA246">
        <v>41853493</v>
      </c>
      <c r="AB246">
        <f t="shared" si="114"/>
        <v>0</v>
      </c>
      <c r="AC246">
        <f>ROUND((ES246),2)</f>
        <v>0</v>
      </c>
      <c r="AD246">
        <f>ROUND((((ET246)-(EU246))+AE246),2)</f>
        <v>0</v>
      </c>
      <c r="AE246">
        <f>ROUND((EU246),2)</f>
        <v>0</v>
      </c>
      <c r="AF246">
        <f>ROUND((EV246),2)</f>
        <v>0</v>
      </c>
      <c r="AG246">
        <f t="shared" si="115"/>
        <v>0</v>
      </c>
      <c r="AH246">
        <f>(EW246)</f>
        <v>0</v>
      </c>
      <c r="AI246">
        <f>(EX246)</f>
        <v>0</v>
      </c>
      <c r="AJ246">
        <f t="shared" si="116"/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6</v>
      </c>
      <c r="BE246" t="s">
        <v>6</v>
      </c>
      <c r="BF246" t="s">
        <v>6</v>
      </c>
      <c r="BG246" t="s">
        <v>6</v>
      </c>
      <c r="BH246">
        <v>3</v>
      </c>
      <c r="BI246">
        <v>4</v>
      </c>
      <c r="BJ246" t="s">
        <v>6</v>
      </c>
      <c r="BM246">
        <v>0</v>
      </c>
      <c r="BN246">
        <v>0</v>
      </c>
      <c r="BO246" t="s">
        <v>6</v>
      </c>
      <c r="BP246">
        <v>0</v>
      </c>
      <c r="BQ246">
        <v>16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6</v>
      </c>
      <c r="BZ246">
        <v>0</v>
      </c>
      <c r="CA246">
        <v>0</v>
      </c>
      <c r="CB246" t="s">
        <v>6</v>
      </c>
      <c r="CE246">
        <v>0</v>
      </c>
      <c r="CF246">
        <v>0</v>
      </c>
      <c r="CG246">
        <v>0</v>
      </c>
      <c r="CM246">
        <v>0</v>
      </c>
      <c r="CN246" t="s">
        <v>6</v>
      </c>
      <c r="CO246">
        <v>0</v>
      </c>
      <c r="CP246">
        <f>0</f>
        <v>0</v>
      </c>
      <c r="CQ246">
        <f>0</f>
        <v>0</v>
      </c>
      <c r="CR246">
        <f>0</f>
        <v>0</v>
      </c>
      <c r="CS246">
        <f>0</f>
        <v>0</v>
      </c>
      <c r="CT246">
        <f>0</f>
        <v>0</v>
      </c>
      <c r="CU246">
        <f>0</f>
        <v>0</v>
      </c>
      <c r="CV246">
        <f>0</f>
        <v>0</v>
      </c>
      <c r="CW246">
        <f>0</f>
        <v>0</v>
      </c>
      <c r="CX246">
        <f>0</f>
        <v>0</v>
      </c>
      <c r="CY246">
        <f>0</f>
        <v>0</v>
      </c>
      <c r="CZ246">
        <f>0</f>
        <v>0</v>
      </c>
      <c r="DC246" t="s">
        <v>6</v>
      </c>
      <c r="DD246" t="s">
        <v>6</v>
      </c>
      <c r="DE246" t="s">
        <v>6</v>
      </c>
      <c r="DF246" t="s">
        <v>6</v>
      </c>
      <c r="DG246" t="s">
        <v>6</v>
      </c>
      <c r="DH246" t="s">
        <v>6</v>
      </c>
      <c r="DI246" t="s">
        <v>6</v>
      </c>
      <c r="DJ246" t="s">
        <v>6</v>
      </c>
      <c r="DK246" t="s">
        <v>6</v>
      </c>
      <c r="DL246" t="s">
        <v>6</v>
      </c>
      <c r="DM246" t="s">
        <v>6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30</v>
      </c>
      <c r="DW246" t="s">
        <v>30</v>
      </c>
      <c r="DX246">
        <v>1</v>
      </c>
      <c r="DZ246" t="s">
        <v>6</v>
      </c>
      <c r="EA246" t="s">
        <v>6</v>
      </c>
      <c r="EB246" t="s">
        <v>6</v>
      </c>
      <c r="EC246" t="s">
        <v>6</v>
      </c>
      <c r="EE246">
        <v>40604523</v>
      </c>
      <c r="EF246">
        <v>16</v>
      </c>
      <c r="EG246" t="s">
        <v>31</v>
      </c>
      <c r="EH246">
        <v>0</v>
      </c>
      <c r="EI246" t="s">
        <v>6</v>
      </c>
      <c r="EJ246">
        <v>4</v>
      </c>
      <c r="EK246">
        <v>0</v>
      </c>
      <c r="EL246" t="s">
        <v>32</v>
      </c>
      <c r="EM246" t="s">
        <v>33</v>
      </c>
      <c r="EO246" t="s">
        <v>6</v>
      </c>
      <c r="EQ246">
        <v>0</v>
      </c>
      <c r="ER246">
        <v>0</v>
      </c>
      <c r="ES246">
        <v>0</v>
      </c>
      <c r="ET246">
        <v>0</v>
      </c>
      <c r="EU246">
        <v>0</v>
      </c>
      <c r="EV246">
        <v>0</v>
      </c>
      <c r="EW246">
        <v>0</v>
      </c>
      <c r="EX246">
        <v>0</v>
      </c>
      <c r="FQ246">
        <v>0</v>
      </c>
      <c r="FR246">
        <f t="shared" si="117"/>
        <v>0</v>
      </c>
      <c r="FS246">
        <v>0</v>
      </c>
      <c r="FX246">
        <v>0</v>
      </c>
      <c r="FY246">
        <v>0</v>
      </c>
      <c r="GA246" t="s">
        <v>6</v>
      </c>
      <c r="GD246">
        <v>1</v>
      </c>
      <c r="GF246">
        <v>274903907</v>
      </c>
      <c r="GG246">
        <v>2</v>
      </c>
      <c r="GH246">
        <v>1</v>
      </c>
      <c r="GI246">
        <v>-2</v>
      </c>
      <c r="GJ246">
        <v>0</v>
      </c>
      <c r="GK246">
        <v>0</v>
      </c>
      <c r="GL246">
        <f t="shared" si="118"/>
        <v>0</v>
      </c>
      <c r="GM246">
        <f t="shared" si="119"/>
        <v>189.64</v>
      </c>
      <c r="GN246">
        <f t="shared" si="120"/>
        <v>0</v>
      </c>
      <c r="GO246">
        <f t="shared" si="121"/>
        <v>0</v>
      </c>
      <c r="GP246">
        <f t="shared" si="122"/>
        <v>189.64</v>
      </c>
      <c r="GR246">
        <v>0</v>
      </c>
      <c r="GS246">
        <v>3</v>
      </c>
      <c r="GT246">
        <v>0</v>
      </c>
      <c r="GU246" t="s">
        <v>6</v>
      </c>
      <c r="GV246">
        <f t="shared" si="123"/>
        <v>0</v>
      </c>
      <c r="GW246">
        <v>1</v>
      </c>
      <c r="GX246">
        <f t="shared" si="124"/>
        <v>0</v>
      </c>
      <c r="HA246">
        <v>0</v>
      </c>
      <c r="HB246">
        <v>0</v>
      </c>
      <c r="HC246">
        <f>0</f>
        <v>0</v>
      </c>
      <c r="HE246" t="s">
        <v>6</v>
      </c>
      <c r="HF246" t="s">
        <v>6</v>
      </c>
      <c r="HM246" t="s">
        <v>6</v>
      </c>
      <c r="HN246" t="s">
        <v>6</v>
      </c>
      <c r="HO246" t="s">
        <v>6</v>
      </c>
      <c r="HP246" t="s">
        <v>6</v>
      </c>
      <c r="HQ246" t="s">
        <v>6</v>
      </c>
      <c r="IK246">
        <v>0</v>
      </c>
    </row>
    <row r="247" spans="1:245">
      <c r="A247">
        <v>17</v>
      </c>
      <c r="B247">
        <v>1</v>
      </c>
      <c r="C247">
        <f>ROW(SmtRes!A89)</f>
        <v>89</v>
      </c>
      <c r="D247">
        <f>ROW(EtalonRes!A89)</f>
        <v>89</v>
      </c>
      <c r="E247" t="s">
        <v>186</v>
      </c>
      <c r="F247" t="s">
        <v>187</v>
      </c>
      <c r="G247" t="s">
        <v>188</v>
      </c>
      <c r="H247" t="s">
        <v>20</v>
      </c>
      <c r="I247">
        <v>1</v>
      </c>
      <c r="J247">
        <v>0</v>
      </c>
      <c r="K247">
        <v>1</v>
      </c>
      <c r="O247">
        <f>ROUND(CP247,2)</f>
        <v>654.91</v>
      </c>
      <c r="P247">
        <f>SUMIF(SmtRes!AQ75:'SmtRes'!AQ89,"=1",SmtRes!DF75:'SmtRes'!DF89)</f>
        <v>251.37</v>
      </c>
      <c r="Q247">
        <f>SUMIF(SmtRes!AQ75:'SmtRes'!AQ89,"=1",SmtRes!DG75:'SmtRes'!DG89)</f>
        <v>1.92</v>
      </c>
      <c r="R247">
        <f>SUMIF(SmtRes!AQ75:'SmtRes'!AQ89,"=1",SmtRes!DH75:'SmtRes'!DH89)</f>
        <v>0</v>
      </c>
      <c r="S247">
        <f>SUMIF(SmtRes!AQ75:'SmtRes'!AQ89,"=1",SmtRes!DI75:'SmtRes'!DI89)</f>
        <v>401.62</v>
      </c>
      <c r="T247">
        <f t="shared" si="110"/>
        <v>0</v>
      </c>
      <c r="U247">
        <f>SUMIF(SmtRes!AQ75:'SmtRes'!AQ89,"=1",SmtRes!CV75:'SmtRes'!CV89)</f>
        <v>1.34</v>
      </c>
      <c r="V247">
        <f>SUMIF(SmtRes!AQ75:'SmtRes'!AQ89,"=1",SmtRes!CW75:'SmtRes'!CW89)</f>
        <v>0.108</v>
      </c>
      <c r="W247">
        <f t="shared" si="111"/>
        <v>0</v>
      </c>
      <c r="X247">
        <f t="shared" si="112"/>
        <v>389.57</v>
      </c>
      <c r="Y247">
        <f t="shared" si="113"/>
        <v>204.83</v>
      </c>
      <c r="AA247">
        <v>41853493</v>
      </c>
      <c r="AB247">
        <f t="shared" si="114"/>
        <v>634.51</v>
      </c>
      <c r="AC247">
        <f>ROUND((SUM(SmtRes!BQ75:'SmtRes'!BQ89)),2)</f>
        <v>230.97</v>
      </c>
      <c r="AD247">
        <f>ROUND((((SUM(SmtRes!BR75:'SmtRes'!BR89))-(0))+AE247),2)</f>
        <v>1.92</v>
      </c>
      <c r="AE247">
        <f>ROUND((0),2)</f>
        <v>0</v>
      </c>
      <c r="AF247">
        <f>ROUND((SUM(SmtRes!BT75:'SmtRes'!BT89)),2)</f>
        <v>401.62</v>
      </c>
      <c r="AG247">
        <f t="shared" si="115"/>
        <v>0</v>
      </c>
      <c r="AH247">
        <f>(SUM(SmtRes!BU75:'SmtRes'!BU89))</f>
        <v>1.34</v>
      </c>
      <c r="AI247">
        <f>(0)</f>
        <v>0</v>
      </c>
      <c r="AJ247">
        <f t="shared" si="116"/>
        <v>0</v>
      </c>
      <c r="AK247">
        <v>634.51749000000007</v>
      </c>
      <c r="AL247">
        <v>230.97244999999998</v>
      </c>
      <c r="AM247">
        <v>1.9202400000000002</v>
      </c>
      <c r="AN247">
        <v>0</v>
      </c>
      <c r="AO247">
        <v>401.62480000000005</v>
      </c>
      <c r="AP247">
        <v>0</v>
      </c>
      <c r="AQ247">
        <v>1.34</v>
      </c>
      <c r="AR247">
        <v>0</v>
      </c>
      <c r="AS247">
        <v>0</v>
      </c>
      <c r="AT247">
        <v>97</v>
      </c>
      <c r="AU247">
        <v>51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6</v>
      </c>
      <c r="BE247" t="s">
        <v>6</v>
      </c>
      <c r="BF247" t="s">
        <v>6</v>
      </c>
      <c r="BG247" t="s">
        <v>6</v>
      </c>
      <c r="BH247">
        <v>0</v>
      </c>
      <c r="BI247">
        <v>2</v>
      </c>
      <c r="BJ247" t="s">
        <v>189</v>
      </c>
      <c r="BM247">
        <v>108001</v>
      </c>
      <c r="BN247">
        <v>0</v>
      </c>
      <c r="BO247" t="s">
        <v>6</v>
      </c>
      <c r="BP247">
        <v>0</v>
      </c>
      <c r="BQ247">
        <v>3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6</v>
      </c>
      <c r="BZ247">
        <v>97</v>
      </c>
      <c r="CA247">
        <v>51</v>
      </c>
      <c r="CB247" t="s">
        <v>6</v>
      </c>
      <c r="CE247">
        <v>0</v>
      </c>
      <c r="CF247">
        <v>0</v>
      </c>
      <c r="CG247">
        <v>0</v>
      </c>
      <c r="CM247">
        <v>0</v>
      </c>
      <c r="CN247" t="s">
        <v>6</v>
      </c>
      <c r="CO247">
        <v>0</v>
      </c>
      <c r="CP247">
        <f>(P247+Q247+S247+R247)</f>
        <v>654.91</v>
      </c>
      <c r="CQ247">
        <f>SUMIF(SmtRes!AQ75:'SmtRes'!AQ89,"=1",SmtRes!AA75:'SmtRes'!AA89)</f>
        <v>119683.65999999999</v>
      </c>
      <c r="CR247">
        <f>SUMIF(SmtRes!AQ75:'SmtRes'!AQ89,"=1",SmtRes!AB75:'SmtRes'!AB89)</f>
        <v>17.78</v>
      </c>
      <c r="CS247">
        <f>SUMIF(SmtRes!AQ75:'SmtRes'!AQ89,"=1",SmtRes!AC75:'SmtRes'!AC89)</f>
        <v>0</v>
      </c>
      <c r="CT247">
        <f>SUMIF(SmtRes!AQ75:'SmtRes'!AQ89,"=1",SmtRes!AD75:'SmtRes'!AD89)</f>
        <v>299.72000000000003</v>
      </c>
      <c r="CU247">
        <f>AG247</f>
        <v>0</v>
      </c>
      <c r="CV247">
        <f>SUMIF(SmtRes!AQ75:'SmtRes'!AQ89,"=1",SmtRes!BU75:'SmtRes'!BU89)</f>
        <v>1.34</v>
      </c>
      <c r="CW247">
        <f>SUMIF(SmtRes!AQ75:'SmtRes'!AQ89,"=1",SmtRes!BV75:'SmtRes'!BV89)</f>
        <v>0</v>
      </c>
      <c r="CX247">
        <f>AJ247</f>
        <v>0</v>
      </c>
      <c r="CY247">
        <f>(((S247+R247)*AT247)/100)</f>
        <v>389.57139999999998</v>
      </c>
      <c r="CZ247">
        <f>(((S247+R247)*AU247)/100)</f>
        <v>204.8262</v>
      </c>
      <c r="DC247" t="s">
        <v>6</v>
      </c>
      <c r="DD247" t="s">
        <v>6</v>
      </c>
      <c r="DE247" t="s">
        <v>6</v>
      </c>
      <c r="DF247" t="s">
        <v>6</v>
      </c>
      <c r="DG247" t="s">
        <v>6</v>
      </c>
      <c r="DH247" t="s">
        <v>6</v>
      </c>
      <c r="DI247" t="s">
        <v>6</v>
      </c>
      <c r="DJ247" t="s">
        <v>6</v>
      </c>
      <c r="DK247" t="s">
        <v>6</v>
      </c>
      <c r="DL247" t="s">
        <v>6</v>
      </c>
      <c r="DM247" t="s">
        <v>6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20</v>
      </c>
      <c r="DW247" t="s">
        <v>20</v>
      </c>
      <c r="DX247">
        <v>1</v>
      </c>
      <c r="DZ247" t="s">
        <v>6</v>
      </c>
      <c r="EA247" t="s">
        <v>6</v>
      </c>
      <c r="EB247" t="s">
        <v>6</v>
      </c>
      <c r="EC247" t="s">
        <v>6</v>
      </c>
      <c r="EE247">
        <v>40604465</v>
      </c>
      <c r="EF247">
        <v>3</v>
      </c>
      <c r="EG247" t="s">
        <v>22</v>
      </c>
      <c r="EH247">
        <v>0</v>
      </c>
      <c r="EI247" t="s">
        <v>6</v>
      </c>
      <c r="EJ247">
        <v>2</v>
      </c>
      <c r="EK247">
        <v>108001</v>
      </c>
      <c r="EL247" t="s">
        <v>23</v>
      </c>
      <c r="EM247" t="s">
        <v>24</v>
      </c>
      <c r="EO247" t="s">
        <v>6</v>
      </c>
      <c r="EQ247">
        <v>0</v>
      </c>
      <c r="ER247">
        <v>0</v>
      </c>
      <c r="ES247">
        <v>0</v>
      </c>
      <c r="ET247">
        <v>0</v>
      </c>
      <c r="EU247">
        <v>0</v>
      </c>
      <c r="EV247">
        <v>0</v>
      </c>
      <c r="EW247">
        <v>1.34</v>
      </c>
      <c r="EX247">
        <v>0</v>
      </c>
      <c r="EY247">
        <v>0</v>
      </c>
      <c r="FQ247">
        <v>0</v>
      </c>
      <c r="FR247">
        <f t="shared" si="117"/>
        <v>0</v>
      </c>
      <c r="FS247">
        <v>0</v>
      </c>
      <c r="FX247">
        <v>97</v>
      </c>
      <c r="FY247">
        <v>51</v>
      </c>
      <c r="GA247" t="s">
        <v>6</v>
      </c>
      <c r="GD247">
        <v>1</v>
      </c>
      <c r="GF247">
        <v>-1919157397</v>
      </c>
      <c r="GG247">
        <v>2</v>
      </c>
      <c r="GH247">
        <v>1</v>
      </c>
      <c r="GI247">
        <v>-2</v>
      </c>
      <c r="GJ247">
        <v>0</v>
      </c>
      <c r="GK247">
        <v>0</v>
      </c>
      <c r="GL247">
        <f t="shared" si="118"/>
        <v>0</v>
      </c>
      <c r="GM247">
        <f t="shared" si="119"/>
        <v>1249.31</v>
      </c>
      <c r="GN247">
        <f t="shared" si="120"/>
        <v>0</v>
      </c>
      <c r="GO247">
        <f t="shared" si="121"/>
        <v>1249.31</v>
      </c>
      <c r="GP247">
        <f t="shared" si="122"/>
        <v>0</v>
      </c>
      <c r="GR247">
        <v>0</v>
      </c>
      <c r="GS247">
        <v>3</v>
      </c>
      <c r="GT247">
        <v>0</v>
      </c>
      <c r="GU247" t="s">
        <v>6</v>
      </c>
      <c r="GV247">
        <f t="shared" si="123"/>
        <v>0</v>
      </c>
      <c r="GW247">
        <v>1</v>
      </c>
      <c r="GX247">
        <f t="shared" si="124"/>
        <v>0</v>
      </c>
      <c r="HA247">
        <v>0</v>
      </c>
      <c r="HB247">
        <v>0</v>
      </c>
      <c r="HC247">
        <f>GV247*GW247</f>
        <v>0</v>
      </c>
      <c r="HE247" t="s">
        <v>6</v>
      </c>
      <c r="HF247" t="s">
        <v>6</v>
      </c>
      <c r="HM247" t="s">
        <v>6</v>
      </c>
      <c r="HN247" t="s">
        <v>25</v>
      </c>
      <c r="HO247" t="s">
        <v>26</v>
      </c>
      <c r="HP247" t="s">
        <v>23</v>
      </c>
      <c r="HQ247" t="s">
        <v>23</v>
      </c>
      <c r="IK247">
        <v>0</v>
      </c>
    </row>
    <row r="248" spans="1:245">
      <c r="A248">
        <v>18</v>
      </c>
      <c r="B248">
        <v>1</v>
      </c>
      <c r="C248">
        <v>89</v>
      </c>
      <c r="E248" t="s">
        <v>190</v>
      </c>
      <c r="F248" t="s">
        <v>28</v>
      </c>
      <c r="G248" t="s">
        <v>29</v>
      </c>
      <c r="H248" t="s">
        <v>30</v>
      </c>
      <c r="I248">
        <f>J248</f>
        <v>2</v>
      </c>
      <c r="J248">
        <v>2</v>
      </c>
      <c r="K248">
        <v>2</v>
      </c>
      <c r="O248">
        <f>ROUND(P248,2)</f>
        <v>8.0299999999999994</v>
      </c>
      <c r="P248">
        <f>ROUND(ROUND(ROUND(SUMIF(SmtRes!AQ75:'SmtRes'!AQ89,"=1",SmtRes!CU75:'SmtRes'!CU89),2),2)*I248/100,2)</f>
        <v>8.0299999999999994</v>
      </c>
      <c r="Q248">
        <f>ROUND(CR248*I248,2)</f>
        <v>0</v>
      </c>
      <c r="R248">
        <f>ROUND(CS248*I248,2)</f>
        <v>0</v>
      </c>
      <c r="S248">
        <f>ROUND(CT248*I248,2)</f>
        <v>0</v>
      </c>
      <c r="T248">
        <f t="shared" si="110"/>
        <v>0</v>
      </c>
      <c r="U248">
        <f>CV248*I248</f>
        <v>0</v>
      </c>
      <c r="V248">
        <f>CW248*I248</f>
        <v>0</v>
      </c>
      <c r="W248">
        <f t="shared" si="111"/>
        <v>0</v>
      </c>
      <c r="X248">
        <f t="shared" si="112"/>
        <v>0</v>
      </c>
      <c r="Y248">
        <f t="shared" si="113"/>
        <v>0</v>
      </c>
      <c r="AA248">
        <v>41853493</v>
      </c>
      <c r="AB248">
        <f t="shared" si="114"/>
        <v>0</v>
      </c>
      <c r="AC248">
        <f>ROUND((ES248),2)</f>
        <v>0</v>
      </c>
      <c r="AD248">
        <f>ROUND((((ET248)-(EU248))+AE248),2)</f>
        <v>0</v>
      </c>
      <c r="AE248">
        <f>ROUND((EU248),2)</f>
        <v>0</v>
      </c>
      <c r="AF248">
        <f>ROUND((EV248),2)</f>
        <v>0</v>
      </c>
      <c r="AG248">
        <f t="shared" si="115"/>
        <v>0</v>
      </c>
      <c r="AH248">
        <f>(EW248)</f>
        <v>0</v>
      </c>
      <c r="AI248">
        <f>(EX248)</f>
        <v>0</v>
      </c>
      <c r="AJ248">
        <f t="shared" si="116"/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6</v>
      </c>
      <c r="BE248" t="s">
        <v>6</v>
      </c>
      <c r="BF248" t="s">
        <v>6</v>
      </c>
      <c r="BG248" t="s">
        <v>6</v>
      </c>
      <c r="BH248">
        <v>3</v>
      </c>
      <c r="BI248">
        <v>4</v>
      </c>
      <c r="BJ248" t="s">
        <v>6</v>
      </c>
      <c r="BM248">
        <v>0</v>
      </c>
      <c r="BN248">
        <v>0</v>
      </c>
      <c r="BO248" t="s">
        <v>6</v>
      </c>
      <c r="BP248">
        <v>0</v>
      </c>
      <c r="BQ248">
        <v>16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6</v>
      </c>
      <c r="BZ248">
        <v>0</v>
      </c>
      <c r="CA248">
        <v>0</v>
      </c>
      <c r="CB248" t="s">
        <v>6</v>
      </c>
      <c r="CE248">
        <v>0</v>
      </c>
      <c r="CF248">
        <v>0</v>
      </c>
      <c r="CG248">
        <v>0</v>
      </c>
      <c r="CM248">
        <v>0</v>
      </c>
      <c r="CN248" t="s">
        <v>6</v>
      </c>
      <c r="CO248">
        <v>0</v>
      </c>
      <c r="CP248">
        <f>0</f>
        <v>0</v>
      </c>
      <c r="CQ248">
        <f>0</f>
        <v>0</v>
      </c>
      <c r="CR248">
        <f>0</f>
        <v>0</v>
      </c>
      <c r="CS248">
        <f>0</f>
        <v>0</v>
      </c>
      <c r="CT248">
        <f>0</f>
        <v>0</v>
      </c>
      <c r="CU248">
        <f>0</f>
        <v>0</v>
      </c>
      <c r="CV248">
        <f>0</f>
        <v>0</v>
      </c>
      <c r="CW248">
        <f>0</f>
        <v>0</v>
      </c>
      <c r="CX248">
        <f>0</f>
        <v>0</v>
      </c>
      <c r="CY248">
        <f>0</f>
        <v>0</v>
      </c>
      <c r="CZ248">
        <f>0</f>
        <v>0</v>
      </c>
      <c r="DC248" t="s">
        <v>6</v>
      </c>
      <c r="DD248" t="s">
        <v>6</v>
      </c>
      <c r="DE248" t="s">
        <v>6</v>
      </c>
      <c r="DF248" t="s">
        <v>6</v>
      </c>
      <c r="DG248" t="s">
        <v>6</v>
      </c>
      <c r="DH248" t="s">
        <v>6</v>
      </c>
      <c r="DI248" t="s">
        <v>6</v>
      </c>
      <c r="DJ248" t="s">
        <v>6</v>
      </c>
      <c r="DK248" t="s">
        <v>6</v>
      </c>
      <c r="DL248" t="s">
        <v>6</v>
      </c>
      <c r="DM248" t="s">
        <v>6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30</v>
      </c>
      <c r="DW248" t="s">
        <v>30</v>
      </c>
      <c r="DX248">
        <v>1</v>
      </c>
      <c r="DZ248" t="s">
        <v>6</v>
      </c>
      <c r="EA248" t="s">
        <v>6</v>
      </c>
      <c r="EB248" t="s">
        <v>6</v>
      </c>
      <c r="EC248" t="s">
        <v>6</v>
      </c>
      <c r="EE248">
        <v>40604523</v>
      </c>
      <c r="EF248">
        <v>16</v>
      </c>
      <c r="EG248" t="s">
        <v>31</v>
      </c>
      <c r="EH248">
        <v>0</v>
      </c>
      <c r="EI248" t="s">
        <v>6</v>
      </c>
      <c r="EJ248">
        <v>4</v>
      </c>
      <c r="EK248">
        <v>0</v>
      </c>
      <c r="EL248" t="s">
        <v>32</v>
      </c>
      <c r="EM248" t="s">
        <v>33</v>
      </c>
      <c r="EO248" t="s">
        <v>6</v>
      </c>
      <c r="EQ248">
        <v>0</v>
      </c>
      <c r="ER248">
        <v>0</v>
      </c>
      <c r="ES248">
        <v>0</v>
      </c>
      <c r="ET248">
        <v>0</v>
      </c>
      <c r="EU248">
        <v>0</v>
      </c>
      <c r="EV248">
        <v>0</v>
      </c>
      <c r="EW248">
        <v>0</v>
      </c>
      <c r="EX248">
        <v>0</v>
      </c>
      <c r="FQ248">
        <v>0</v>
      </c>
      <c r="FR248">
        <f t="shared" si="117"/>
        <v>0</v>
      </c>
      <c r="FS248">
        <v>0</v>
      </c>
      <c r="FX248">
        <v>0</v>
      </c>
      <c r="FY248">
        <v>0</v>
      </c>
      <c r="GA248" t="s">
        <v>6</v>
      </c>
      <c r="GD248">
        <v>1</v>
      </c>
      <c r="GF248">
        <v>274903907</v>
      </c>
      <c r="GG248">
        <v>2</v>
      </c>
      <c r="GH248">
        <v>1</v>
      </c>
      <c r="GI248">
        <v>-2</v>
      </c>
      <c r="GJ248">
        <v>0</v>
      </c>
      <c r="GK248">
        <v>0</v>
      </c>
      <c r="GL248">
        <f t="shared" si="118"/>
        <v>0</v>
      </c>
      <c r="GM248">
        <f t="shared" si="119"/>
        <v>8.0299999999999994</v>
      </c>
      <c r="GN248">
        <f t="shared" si="120"/>
        <v>0</v>
      </c>
      <c r="GO248">
        <f t="shared" si="121"/>
        <v>0</v>
      </c>
      <c r="GP248">
        <f t="shared" si="122"/>
        <v>8.0299999999999994</v>
      </c>
      <c r="GR248">
        <v>0</v>
      </c>
      <c r="GS248">
        <v>3</v>
      </c>
      <c r="GT248">
        <v>0</v>
      </c>
      <c r="GU248" t="s">
        <v>6</v>
      </c>
      <c r="GV248">
        <f t="shared" si="123"/>
        <v>0</v>
      </c>
      <c r="GW248">
        <v>1</v>
      </c>
      <c r="GX248">
        <f t="shared" si="124"/>
        <v>0</v>
      </c>
      <c r="HA248">
        <v>0</v>
      </c>
      <c r="HB248">
        <v>0</v>
      </c>
      <c r="HC248">
        <f>0</f>
        <v>0</v>
      </c>
      <c r="HE248" t="s">
        <v>6</v>
      </c>
      <c r="HF248" t="s">
        <v>6</v>
      </c>
      <c r="HM248" t="s">
        <v>6</v>
      </c>
      <c r="HN248" t="s">
        <v>6</v>
      </c>
      <c r="HO248" t="s">
        <v>6</v>
      </c>
      <c r="HP248" t="s">
        <v>6</v>
      </c>
      <c r="HQ248" t="s">
        <v>6</v>
      </c>
      <c r="IK248">
        <v>0</v>
      </c>
    </row>
    <row r="249" spans="1:245">
      <c r="A249">
        <v>17</v>
      </c>
      <c r="B249">
        <v>1</v>
      </c>
      <c r="C249">
        <f>ROW(SmtRes!A93)</f>
        <v>93</v>
      </c>
      <c r="D249">
        <f>ROW(EtalonRes!A93)</f>
        <v>93</v>
      </c>
      <c r="E249" t="s">
        <v>191</v>
      </c>
      <c r="F249" t="s">
        <v>192</v>
      </c>
      <c r="G249" t="s">
        <v>193</v>
      </c>
      <c r="H249" t="s">
        <v>194</v>
      </c>
      <c r="I249">
        <f>ROUND(25/100,7)</f>
        <v>0.25</v>
      </c>
      <c r="J249">
        <v>0</v>
      </c>
      <c r="K249">
        <f>ROUND(25/100,7)</f>
        <v>0.25</v>
      </c>
      <c r="O249">
        <f>ROUND(CP249,2)</f>
        <v>1135.42</v>
      </c>
      <c r="P249">
        <f>SUMIF(SmtRes!AQ90:'SmtRes'!AQ93,"=1",SmtRes!DF90:'SmtRes'!DF93)</f>
        <v>35.17</v>
      </c>
      <c r="Q249">
        <f>SUMIF(SmtRes!AQ90:'SmtRes'!AQ93,"=1",SmtRes!DG90:'SmtRes'!DG93)</f>
        <v>0</v>
      </c>
      <c r="R249">
        <f>SUMIF(SmtRes!AQ90:'SmtRes'!AQ93,"=1",SmtRes!DH90:'SmtRes'!DH93)</f>
        <v>0</v>
      </c>
      <c r="S249">
        <f>SUMIF(SmtRes!AQ90:'SmtRes'!AQ93,"=1",SmtRes!DI90:'SmtRes'!DI93)</f>
        <v>1100.25</v>
      </c>
      <c r="T249">
        <f t="shared" si="110"/>
        <v>0</v>
      </c>
      <c r="U249">
        <f>SUMIF(SmtRes!AQ90:'SmtRes'!AQ93,"=1",SmtRes!CV90:'SmtRes'!CV93)</f>
        <v>3.8</v>
      </c>
      <c r="V249">
        <f>SUMIF(SmtRes!AQ90:'SmtRes'!AQ93,"=1",SmtRes!CW90:'SmtRes'!CW93)</f>
        <v>0</v>
      </c>
      <c r="W249">
        <f t="shared" si="111"/>
        <v>0</v>
      </c>
      <c r="X249">
        <f t="shared" si="112"/>
        <v>1067.24</v>
      </c>
      <c r="Y249">
        <f t="shared" si="113"/>
        <v>561.13</v>
      </c>
      <c r="AA249">
        <v>41853493</v>
      </c>
      <c r="AB249">
        <f t="shared" si="114"/>
        <v>4527.03</v>
      </c>
      <c r="AC249">
        <f>ROUND((SUM(SmtRes!BQ90:'SmtRes'!BQ93)),2)</f>
        <v>126.02</v>
      </c>
      <c r="AD249">
        <f>ROUND((((0)-(0))+AE249),2)</f>
        <v>0</v>
      </c>
      <c r="AE249">
        <f>ROUND((0),2)</f>
        <v>0</v>
      </c>
      <c r="AF249">
        <f>ROUND((SUM(SmtRes!BT90:'SmtRes'!BT93)),2)</f>
        <v>4401.01</v>
      </c>
      <c r="AG249">
        <f t="shared" si="115"/>
        <v>0</v>
      </c>
      <c r="AH249">
        <f>(SUM(SmtRes!BU90:'SmtRes'!BU93))</f>
        <v>15.2</v>
      </c>
      <c r="AI249">
        <f>(0)</f>
        <v>0</v>
      </c>
      <c r="AJ249">
        <f t="shared" si="116"/>
        <v>0</v>
      </c>
      <c r="AK249">
        <v>4527.0305200000003</v>
      </c>
      <c r="AL249">
        <v>126.02252</v>
      </c>
      <c r="AM249">
        <v>0</v>
      </c>
      <c r="AN249">
        <v>0</v>
      </c>
      <c r="AO249">
        <v>4401.0079999999998</v>
      </c>
      <c r="AP249">
        <v>0</v>
      </c>
      <c r="AQ249">
        <v>15.2</v>
      </c>
      <c r="AR249">
        <v>0</v>
      </c>
      <c r="AS249">
        <v>0</v>
      </c>
      <c r="AT249">
        <v>97</v>
      </c>
      <c r="AU249">
        <v>51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6</v>
      </c>
      <c r="BE249" t="s">
        <v>6</v>
      </c>
      <c r="BF249" t="s">
        <v>6</v>
      </c>
      <c r="BG249" t="s">
        <v>6</v>
      </c>
      <c r="BH249">
        <v>0</v>
      </c>
      <c r="BI249">
        <v>2</v>
      </c>
      <c r="BJ249" t="s">
        <v>195</v>
      </c>
      <c r="BM249">
        <v>108001</v>
      </c>
      <c r="BN249">
        <v>0</v>
      </c>
      <c r="BO249" t="s">
        <v>6</v>
      </c>
      <c r="BP249">
        <v>0</v>
      </c>
      <c r="BQ249">
        <v>3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6</v>
      </c>
      <c r="BZ249">
        <v>97</v>
      </c>
      <c r="CA249">
        <v>51</v>
      </c>
      <c r="CB249" t="s">
        <v>6</v>
      </c>
      <c r="CE249">
        <v>0</v>
      </c>
      <c r="CF249">
        <v>0</v>
      </c>
      <c r="CG249">
        <v>0</v>
      </c>
      <c r="CM249">
        <v>0</v>
      </c>
      <c r="CN249" t="s">
        <v>6</v>
      </c>
      <c r="CO249">
        <v>0</v>
      </c>
      <c r="CP249">
        <f>(P249+Q249+S249+R249)</f>
        <v>1135.42</v>
      </c>
      <c r="CQ249">
        <f>SUMIF(SmtRes!AQ90:'SmtRes'!AQ93,"=1",SmtRes!AA90:'SmtRes'!AA93)</f>
        <v>67.16</v>
      </c>
      <c r="CR249">
        <f>SUMIF(SmtRes!AQ90:'SmtRes'!AQ93,"=1",SmtRes!AB90:'SmtRes'!AB93)</f>
        <v>0</v>
      </c>
      <c r="CS249">
        <f>SUMIF(SmtRes!AQ90:'SmtRes'!AQ93,"=1",SmtRes!AC90:'SmtRes'!AC93)</f>
        <v>0</v>
      </c>
      <c r="CT249">
        <f>SUMIF(SmtRes!AQ90:'SmtRes'!AQ93,"=1",SmtRes!AD90:'SmtRes'!AD93)</f>
        <v>289.54000000000002</v>
      </c>
      <c r="CU249">
        <f>AG249</f>
        <v>0</v>
      </c>
      <c r="CV249">
        <f>SUMIF(SmtRes!AQ90:'SmtRes'!AQ93,"=1",SmtRes!BU90:'SmtRes'!BU93)</f>
        <v>15.2</v>
      </c>
      <c r="CW249">
        <f>SUMIF(SmtRes!AQ90:'SmtRes'!AQ93,"=1",SmtRes!BV90:'SmtRes'!BV93)</f>
        <v>0</v>
      </c>
      <c r="CX249">
        <f>AJ249</f>
        <v>0</v>
      </c>
      <c r="CY249">
        <f>(((S249+R249)*AT249)/100)</f>
        <v>1067.2425000000001</v>
      </c>
      <c r="CZ249">
        <f>(((S249+R249)*AU249)/100)</f>
        <v>561.12750000000005</v>
      </c>
      <c r="DC249" t="s">
        <v>6</v>
      </c>
      <c r="DD249" t="s">
        <v>6</v>
      </c>
      <c r="DE249" t="s">
        <v>6</v>
      </c>
      <c r="DF249" t="s">
        <v>6</v>
      </c>
      <c r="DG249" t="s">
        <v>6</v>
      </c>
      <c r="DH249" t="s">
        <v>6</v>
      </c>
      <c r="DI249" t="s">
        <v>6</v>
      </c>
      <c r="DJ249" t="s">
        <v>6</v>
      </c>
      <c r="DK249" t="s">
        <v>6</v>
      </c>
      <c r="DL249" t="s">
        <v>6</v>
      </c>
      <c r="DM249" t="s">
        <v>6</v>
      </c>
      <c r="DN249">
        <v>0</v>
      </c>
      <c r="DO249">
        <v>0</v>
      </c>
      <c r="DP249">
        <v>1</v>
      </c>
      <c r="DQ249">
        <v>1</v>
      </c>
      <c r="DU249">
        <v>1003</v>
      </c>
      <c r="DV249" t="s">
        <v>194</v>
      </c>
      <c r="DW249" t="s">
        <v>194</v>
      </c>
      <c r="DX249">
        <v>100</v>
      </c>
      <c r="DZ249" t="s">
        <v>6</v>
      </c>
      <c r="EA249" t="s">
        <v>6</v>
      </c>
      <c r="EB249" t="s">
        <v>6</v>
      </c>
      <c r="EC249" t="s">
        <v>6</v>
      </c>
      <c r="EE249">
        <v>40604465</v>
      </c>
      <c r="EF249">
        <v>3</v>
      </c>
      <c r="EG249" t="s">
        <v>22</v>
      </c>
      <c r="EH249">
        <v>0</v>
      </c>
      <c r="EI249" t="s">
        <v>6</v>
      </c>
      <c r="EJ249">
        <v>2</v>
      </c>
      <c r="EK249">
        <v>108001</v>
      </c>
      <c r="EL249" t="s">
        <v>23</v>
      </c>
      <c r="EM249" t="s">
        <v>24</v>
      </c>
      <c r="EO249" t="s">
        <v>6</v>
      </c>
      <c r="EQ249">
        <v>0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15.2</v>
      </c>
      <c r="EX249">
        <v>0</v>
      </c>
      <c r="EY249">
        <v>0</v>
      </c>
      <c r="FQ249">
        <v>0</v>
      </c>
      <c r="FR249">
        <f t="shared" si="117"/>
        <v>0</v>
      </c>
      <c r="FS249">
        <v>0</v>
      </c>
      <c r="FX249">
        <v>97</v>
      </c>
      <c r="FY249">
        <v>51</v>
      </c>
      <c r="GA249" t="s">
        <v>6</v>
      </c>
      <c r="GD249">
        <v>1</v>
      </c>
      <c r="GF249">
        <v>-1480892330</v>
      </c>
      <c r="GG249">
        <v>2</v>
      </c>
      <c r="GH249">
        <v>1</v>
      </c>
      <c r="GI249">
        <v>-2</v>
      </c>
      <c r="GJ249">
        <v>0</v>
      </c>
      <c r="GK249">
        <v>0</v>
      </c>
      <c r="GL249">
        <f t="shared" si="118"/>
        <v>0</v>
      </c>
      <c r="GM249">
        <f t="shared" si="119"/>
        <v>2763.79</v>
      </c>
      <c r="GN249">
        <f t="shared" si="120"/>
        <v>0</v>
      </c>
      <c r="GO249">
        <f t="shared" si="121"/>
        <v>2763.79</v>
      </c>
      <c r="GP249">
        <f t="shared" si="122"/>
        <v>0</v>
      </c>
      <c r="GR249">
        <v>0</v>
      </c>
      <c r="GS249">
        <v>3</v>
      </c>
      <c r="GT249">
        <v>0</v>
      </c>
      <c r="GU249" t="s">
        <v>6</v>
      </c>
      <c r="GV249">
        <f t="shared" si="123"/>
        <v>0</v>
      </c>
      <c r="GW249">
        <v>1</v>
      </c>
      <c r="GX249">
        <f t="shared" si="124"/>
        <v>0</v>
      </c>
      <c r="HA249">
        <v>0</v>
      </c>
      <c r="HB249">
        <v>0</v>
      </c>
      <c r="HC249">
        <f>GV249*GW249</f>
        <v>0</v>
      </c>
      <c r="HE249" t="s">
        <v>6</v>
      </c>
      <c r="HF249" t="s">
        <v>6</v>
      </c>
      <c r="HM249" t="s">
        <v>6</v>
      </c>
      <c r="HN249" t="s">
        <v>25</v>
      </c>
      <c r="HO249" t="s">
        <v>26</v>
      </c>
      <c r="HP249" t="s">
        <v>23</v>
      </c>
      <c r="HQ249" t="s">
        <v>23</v>
      </c>
      <c r="IK249">
        <v>0</v>
      </c>
    </row>
    <row r="250" spans="1:245">
      <c r="A250">
        <v>18</v>
      </c>
      <c r="B250">
        <v>1</v>
      </c>
      <c r="C250">
        <v>93</v>
      </c>
      <c r="E250" t="s">
        <v>196</v>
      </c>
      <c r="F250" t="s">
        <v>28</v>
      </c>
      <c r="G250" t="s">
        <v>29</v>
      </c>
      <c r="H250" t="s">
        <v>30</v>
      </c>
      <c r="I250">
        <f>J250</f>
        <v>2</v>
      </c>
      <c r="J250">
        <v>2</v>
      </c>
      <c r="K250">
        <v>2</v>
      </c>
      <c r="O250">
        <f>ROUND(P250,2)</f>
        <v>22.01</v>
      </c>
      <c r="P250">
        <f>ROUND(ROUND(ROUND(SUMIF(SmtRes!AQ90:'SmtRes'!AQ93,"=1",SmtRes!CU90:'SmtRes'!CU93),2),2)*I250/100,2)</f>
        <v>22.01</v>
      </c>
      <c r="Q250">
        <f>ROUND(CR250*I250,2)</f>
        <v>0</v>
      </c>
      <c r="R250">
        <f>ROUND(CS250*I250,2)</f>
        <v>0</v>
      </c>
      <c r="S250">
        <f>ROUND(CT250*I250,2)</f>
        <v>0</v>
      </c>
      <c r="T250">
        <f t="shared" si="110"/>
        <v>0</v>
      </c>
      <c r="U250">
        <f>CV250*I250</f>
        <v>0</v>
      </c>
      <c r="V250">
        <f>CW250*I250</f>
        <v>0</v>
      </c>
      <c r="W250">
        <f t="shared" si="111"/>
        <v>0</v>
      </c>
      <c r="X250">
        <f t="shared" si="112"/>
        <v>0</v>
      </c>
      <c r="Y250">
        <f t="shared" si="113"/>
        <v>0</v>
      </c>
      <c r="AA250">
        <v>41853493</v>
      </c>
      <c r="AB250">
        <f t="shared" si="114"/>
        <v>0</v>
      </c>
      <c r="AC250">
        <f>ROUND((ES250),2)</f>
        <v>0</v>
      </c>
      <c r="AD250">
        <f>ROUND((((ET250)-(EU250))+AE250),2)</f>
        <v>0</v>
      </c>
      <c r="AE250">
        <f>ROUND((EU250),2)</f>
        <v>0</v>
      </c>
      <c r="AF250">
        <f>ROUND((EV250),2)</f>
        <v>0</v>
      </c>
      <c r="AG250">
        <f t="shared" si="115"/>
        <v>0</v>
      </c>
      <c r="AH250">
        <f>(EW250)</f>
        <v>0</v>
      </c>
      <c r="AI250">
        <f>(EX250)</f>
        <v>0</v>
      </c>
      <c r="AJ250">
        <f t="shared" si="116"/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6</v>
      </c>
      <c r="BE250" t="s">
        <v>6</v>
      </c>
      <c r="BF250" t="s">
        <v>6</v>
      </c>
      <c r="BG250" t="s">
        <v>6</v>
      </c>
      <c r="BH250">
        <v>3</v>
      </c>
      <c r="BI250">
        <v>4</v>
      </c>
      <c r="BJ250" t="s">
        <v>6</v>
      </c>
      <c r="BM250">
        <v>0</v>
      </c>
      <c r="BN250">
        <v>0</v>
      </c>
      <c r="BO250" t="s">
        <v>6</v>
      </c>
      <c r="BP250">
        <v>0</v>
      </c>
      <c r="BQ250">
        <v>16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6</v>
      </c>
      <c r="BZ250">
        <v>0</v>
      </c>
      <c r="CA250">
        <v>0</v>
      </c>
      <c r="CB250" t="s">
        <v>6</v>
      </c>
      <c r="CE250">
        <v>0</v>
      </c>
      <c r="CF250">
        <v>0</v>
      </c>
      <c r="CG250">
        <v>0</v>
      </c>
      <c r="CM250">
        <v>0</v>
      </c>
      <c r="CN250" t="s">
        <v>6</v>
      </c>
      <c r="CO250">
        <v>0</v>
      </c>
      <c r="CP250">
        <f>0</f>
        <v>0</v>
      </c>
      <c r="CQ250">
        <f>0</f>
        <v>0</v>
      </c>
      <c r="CR250">
        <f>0</f>
        <v>0</v>
      </c>
      <c r="CS250">
        <f>0</f>
        <v>0</v>
      </c>
      <c r="CT250">
        <f>0</f>
        <v>0</v>
      </c>
      <c r="CU250">
        <f>0</f>
        <v>0</v>
      </c>
      <c r="CV250">
        <f>0</f>
        <v>0</v>
      </c>
      <c r="CW250">
        <f>0</f>
        <v>0</v>
      </c>
      <c r="CX250">
        <f>0</f>
        <v>0</v>
      </c>
      <c r="CY250">
        <f>0</f>
        <v>0</v>
      </c>
      <c r="CZ250">
        <f>0</f>
        <v>0</v>
      </c>
      <c r="DC250" t="s">
        <v>6</v>
      </c>
      <c r="DD250" t="s">
        <v>6</v>
      </c>
      <c r="DE250" t="s">
        <v>6</v>
      </c>
      <c r="DF250" t="s">
        <v>6</v>
      </c>
      <c r="DG250" t="s">
        <v>6</v>
      </c>
      <c r="DH250" t="s">
        <v>6</v>
      </c>
      <c r="DI250" t="s">
        <v>6</v>
      </c>
      <c r="DJ250" t="s">
        <v>6</v>
      </c>
      <c r="DK250" t="s">
        <v>6</v>
      </c>
      <c r="DL250" t="s">
        <v>6</v>
      </c>
      <c r="DM250" t="s">
        <v>6</v>
      </c>
      <c r="DN250">
        <v>0</v>
      </c>
      <c r="DO250">
        <v>0</v>
      </c>
      <c r="DP250">
        <v>1</v>
      </c>
      <c r="DQ250">
        <v>1</v>
      </c>
      <c r="DU250">
        <v>1013</v>
      </c>
      <c r="DV250" t="s">
        <v>30</v>
      </c>
      <c r="DW250" t="s">
        <v>30</v>
      </c>
      <c r="DX250">
        <v>1</v>
      </c>
      <c r="DZ250" t="s">
        <v>6</v>
      </c>
      <c r="EA250" t="s">
        <v>6</v>
      </c>
      <c r="EB250" t="s">
        <v>6</v>
      </c>
      <c r="EC250" t="s">
        <v>6</v>
      </c>
      <c r="EE250">
        <v>40604523</v>
      </c>
      <c r="EF250">
        <v>16</v>
      </c>
      <c r="EG250" t="s">
        <v>31</v>
      </c>
      <c r="EH250">
        <v>0</v>
      </c>
      <c r="EI250" t="s">
        <v>6</v>
      </c>
      <c r="EJ250">
        <v>4</v>
      </c>
      <c r="EK250">
        <v>0</v>
      </c>
      <c r="EL250" t="s">
        <v>32</v>
      </c>
      <c r="EM250" t="s">
        <v>33</v>
      </c>
      <c r="EO250" t="s">
        <v>6</v>
      </c>
      <c r="EQ250">
        <v>0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FQ250">
        <v>0</v>
      </c>
      <c r="FR250">
        <f t="shared" si="117"/>
        <v>0</v>
      </c>
      <c r="FS250">
        <v>0</v>
      </c>
      <c r="FX250">
        <v>0</v>
      </c>
      <c r="FY250">
        <v>0</v>
      </c>
      <c r="GA250" t="s">
        <v>6</v>
      </c>
      <c r="GD250">
        <v>1</v>
      </c>
      <c r="GF250">
        <v>274903907</v>
      </c>
      <c r="GG250">
        <v>2</v>
      </c>
      <c r="GH250">
        <v>1</v>
      </c>
      <c r="GI250">
        <v>-2</v>
      </c>
      <c r="GJ250">
        <v>0</v>
      </c>
      <c r="GK250">
        <v>0</v>
      </c>
      <c r="GL250">
        <f t="shared" si="118"/>
        <v>0</v>
      </c>
      <c r="GM250">
        <f t="shared" si="119"/>
        <v>22.01</v>
      </c>
      <c r="GN250">
        <f t="shared" si="120"/>
        <v>0</v>
      </c>
      <c r="GO250">
        <f t="shared" si="121"/>
        <v>0</v>
      </c>
      <c r="GP250">
        <f t="shared" si="122"/>
        <v>22.01</v>
      </c>
      <c r="GR250">
        <v>0</v>
      </c>
      <c r="GS250">
        <v>3</v>
      </c>
      <c r="GT250">
        <v>0</v>
      </c>
      <c r="GU250" t="s">
        <v>6</v>
      </c>
      <c r="GV250">
        <f t="shared" si="123"/>
        <v>0</v>
      </c>
      <c r="GW250">
        <v>1</v>
      </c>
      <c r="GX250">
        <f t="shared" si="124"/>
        <v>0</v>
      </c>
      <c r="HA250">
        <v>0</v>
      </c>
      <c r="HB250">
        <v>0</v>
      </c>
      <c r="HC250">
        <f>0</f>
        <v>0</v>
      </c>
      <c r="HE250" t="s">
        <v>6</v>
      </c>
      <c r="HF250" t="s">
        <v>6</v>
      </c>
      <c r="HM250" t="s">
        <v>6</v>
      </c>
      <c r="HN250" t="s">
        <v>6</v>
      </c>
      <c r="HO250" t="s">
        <v>6</v>
      </c>
      <c r="HP250" t="s">
        <v>6</v>
      </c>
      <c r="HQ250" t="s">
        <v>6</v>
      </c>
      <c r="IK250">
        <v>0</v>
      </c>
    </row>
    <row r="251" spans="1:245">
      <c r="A251">
        <v>17</v>
      </c>
      <c r="B251">
        <v>1</v>
      </c>
      <c r="C251">
        <f>ROW(SmtRes!A103)</f>
        <v>103</v>
      </c>
      <c r="D251">
        <f>ROW(EtalonRes!A103)</f>
        <v>103</v>
      </c>
      <c r="E251" t="s">
        <v>197</v>
      </c>
      <c r="F251" t="s">
        <v>198</v>
      </c>
      <c r="G251" t="s">
        <v>199</v>
      </c>
      <c r="H251" t="s">
        <v>194</v>
      </c>
      <c r="I251">
        <f>ROUND(25/100,7)</f>
        <v>0.25</v>
      </c>
      <c r="J251">
        <v>0</v>
      </c>
      <c r="K251">
        <f>ROUND(25/100,7)</f>
        <v>0.25</v>
      </c>
      <c r="O251">
        <f>ROUND(CP251,2)</f>
        <v>982.75</v>
      </c>
      <c r="P251">
        <f>SUMIF(SmtRes!AQ94:'SmtRes'!AQ103,"=1",SmtRes!DF94:'SmtRes'!DF103)</f>
        <v>104.03</v>
      </c>
      <c r="Q251">
        <f>SUMIF(SmtRes!AQ94:'SmtRes'!AQ103,"=1",SmtRes!DG94:'SmtRes'!DG103)</f>
        <v>108.33000000000001</v>
      </c>
      <c r="R251">
        <f>SUMIF(SmtRes!AQ94:'SmtRes'!AQ103,"=1",SmtRes!DH94:'SmtRes'!DH103)</f>
        <v>35.519999999999996</v>
      </c>
      <c r="S251">
        <f>SUMIF(SmtRes!AQ94:'SmtRes'!AQ103,"=1",SmtRes!DI94:'SmtRes'!DI103)</f>
        <v>734.87</v>
      </c>
      <c r="T251">
        <f t="shared" si="110"/>
        <v>0</v>
      </c>
      <c r="U251">
        <f>SUMIF(SmtRes!AQ94:'SmtRes'!AQ103,"=1",SmtRes!CV94:'SmtRes'!CV103)</f>
        <v>2.48</v>
      </c>
      <c r="V251">
        <f>SUMIF(SmtRes!AQ94:'SmtRes'!AQ103,"=1",SmtRes!CW94:'SmtRes'!CW103)</f>
        <v>1.3</v>
      </c>
      <c r="W251">
        <f t="shared" si="111"/>
        <v>0</v>
      </c>
      <c r="X251">
        <f t="shared" si="112"/>
        <v>747.28</v>
      </c>
      <c r="Y251">
        <f t="shared" si="113"/>
        <v>392.9</v>
      </c>
      <c r="AA251">
        <v>41853493</v>
      </c>
      <c r="AB251">
        <f t="shared" si="114"/>
        <v>3839.2</v>
      </c>
      <c r="AC251">
        <f>ROUND((SUM(SmtRes!BQ94:'SmtRes'!BQ103)),2)</f>
        <v>474.14</v>
      </c>
      <c r="AD251">
        <f>ROUND((((SUM(SmtRes!BR94:'SmtRes'!BR103))-(SUM(SmtRes!BS94:'SmtRes'!BS103)))+AE251),2)</f>
        <v>425.57</v>
      </c>
      <c r="AE251">
        <f>ROUND((SUM(SmtRes!BS94:'SmtRes'!BS103)),2)</f>
        <v>142.05000000000001</v>
      </c>
      <c r="AF251">
        <f>ROUND((SUM(SmtRes!BT94:'SmtRes'!BT103)),2)</f>
        <v>2939.49</v>
      </c>
      <c r="AG251">
        <f t="shared" si="115"/>
        <v>0</v>
      </c>
      <c r="AH251">
        <f>(SUM(SmtRes!BU94:'SmtRes'!BU103))</f>
        <v>9.92</v>
      </c>
      <c r="AI251">
        <f>(SUM(SmtRes!BV94:'SmtRes'!BV103))</f>
        <v>0.4</v>
      </c>
      <c r="AJ251">
        <f t="shared" si="116"/>
        <v>0</v>
      </c>
      <c r="AK251">
        <v>3981.2594484000001</v>
      </c>
      <c r="AL251">
        <v>474.13704840000003</v>
      </c>
      <c r="AM251">
        <v>425.57400000000001</v>
      </c>
      <c r="AN251">
        <v>142.05400000000003</v>
      </c>
      <c r="AO251">
        <v>2939.4944</v>
      </c>
      <c r="AP251">
        <v>0</v>
      </c>
      <c r="AQ251">
        <v>9.92</v>
      </c>
      <c r="AR251">
        <v>0.4</v>
      </c>
      <c r="AS251">
        <v>0</v>
      </c>
      <c r="AT251">
        <v>97</v>
      </c>
      <c r="AU251">
        <v>51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6</v>
      </c>
      <c r="BE251" t="s">
        <v>6</v>
      </c>
      <c r="BF251" t="s">
        <v>6</v>
      </c>
      <c r="BG251" t="s">
        <v>6</v>
      </c>
      <c r="BH251">
        <v>0</v>
      </c>
      <c r="BI251">
        <v>2</v>
      </c>
      <c r="BJ251" t="s">
        <v>200</v>
      </c>
      <c r="BM251">
        <v>108001</v>
      </c>
      <c r="BN251">
        <v>0</v>
      </c>
      <c r="BO251" t="s">
        <v>6</v>
      </c>
      <c r="BP251">
        <v>0</v>
      </c>
      <c r="BQ251">
        <v>3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6</v>
      </c>
      <c r="BZ251">
        <v>97</v>
      </c>
      <c r="CA251">
        <v>51</v>
      </c>
      <c r="CB251" t="s">
        <v>6</v>
      </c>
      <c r="CE251">
        <v>0</v>
      </c>
      <c r="CF251">
        <v>0</v>
      </c>
      <c r="CG251">
        <v>0</v>
      </c>
      <c r="CM251">
        <v>0</v>
      </c>
      <c r="CN251" t="s">
        <v>6</v>
      </c>
      <c r="CO251">
        <v>0</v>
      </c>
      <c r="CP251">
        <f>(P251+Q251+S251+R251)</f>
        <v>982.75</v>
      </c>
      <c r="CQ251">
        <f>SUMIF(SmtRes!AQ94:'SmtRes'!AQ103,"=1",SmtRes!AA94:'SmtRes'!AA103)</f>
        <v>100101.01000000001</v>
      </c>
      <c r="CR251">
        <f>SUMIF(SmtRes!AQ94:'SmtRes'!AQ103,"=1",SmtRes!AB94:'SmtRes'!AB103)</f>
        <v>2014.6100000000001</v>
      </c>
      <c r="CS251">
        <f>SUMIF(SmtRes!AQ94:'SmtRes'!AQ103,"=1",SmtRes!AC94:'SmtRes'!AC103)</f>
        <v>710.27</v>
      </c>
      <c r="CT251">
        <f>SUMIF(SmtRes!AQ94:'SmtRes'!AQ103,"=1",SmtRes!AD94:'SmtRes'!AD103)</f>
        <v>296.32</v>
      </c>
      <c r="CU251">
        <f>AG251</f>
        <v>0</v>
      </c>
      <c r="CV251">
        <f>SUMIF(SmtRes!AQ94:'SmtRes'!AQ103,"=1",SmtRes!BU94:'SmtRes'!BU103)</f>
        <v>9.92</v>
      </c>
      <c r="CW251">
        <f>SUMIF(SmtRes!AQ94:'SmtRes'!AQ103,"=1",SmtRes!BV94:'SmtRes'!BV103)</f>
        <v>0.4</v>
      </c>
      <c r="CX251">
        <f>AJ251</f>
        <v>0</v>
      </c>
      <c r="CY251">
        <f>(((S251+R251)*AT251)/100)</f>
        <v>747.27830000000006</v>
      </c>
      <c r="CZ251">
        <f>(((S251+R251)*AU251)/100)</f>
        <v>392.89889999999997</v>
      </c>
      <c r="DC251" t="s">
        <v>6</v>
      </c>
      <c r="DD251" t="s">
        <v>6</v>
      </c>
      <c r="DE251" t="s">
        <v>6</v>
      </c>
      <c r="DF251" t="s">
        <v>6</v>
      </c>
      <c r="DG251" t="s">
        <v>6</v>
      </c>
      <c r="DH251" t="s">
        <v>6</v>
      </c>
      <c r="DI251" t="s">
        <v>6</v>
      </c>
      <c r="DJ251" t="s">
        <v>6</v>
      </c>
      <c r="DK251" t="s">
        <v>6</v>
      </c>
      <c r="DL251" t="s">
        <v>6</v>
      </c>
      <c r="DM251" t="s">
        <v>6</v>
      </c>
      <c r="DN251">
        <v>0</v>
      </c>
      <c r="DO251">
        <v>0</v>
      </c>
      <c r="DP251">
        <v>1</v>
      </c>
      <c r="DQ251">
        <v>1</v>
      </c>
      <c r="DU251">
        <v>1003</v>
      </c>
      <c r="DV251" t="s">
        <v>194</v>
      </c>
      <c r="DW251" t="s">
        <v>194</v>
      </c>
      <c r="DX251">
        <v>100</v>
      </c>
      <c r="DZ251" t="s">
        <v>6</v>
      </c>
      <c r="EA251" t="s">
        <v>6</v>
      </c>
      <c r="EB251" t="s">
        <v>6</v>
      </c>
      <c r="EC251" t="s">
        <v>6</v>
      </c>
      <c r="EE251">
        <v>40604465</v>
      </c>
      <c r="EF251">
        <v>3</v>
      </c>
      <c r="EG251" t="s">
        <v>22</v>
      </c>
      <c r="EH251">
        <v>0</v>
      </c>
      <c r="EI251" t="s">
        <v>6</v>
      </c>
      <c r="EJ251">
        <v>2</v>
      </c>
      <c r="EK251">
        <v>108001</v>
      </c>
      <c r="EL251" t="s">
        <v>23</v>
      </c>
      <c r="EM251" t="s">
        <v>24</v>
      </c>
      <c r="EO251" t="s">
        <v>6</v>
      </c>
      <c r="EQ251">
        <v>0</v>
      </c>
      <c r="ER251">
        <v>0</v>
      </c>
      <c r="ES251">
        <v>0</v>
      </c>
      <c r="ET251">
        <v>0</v>
      </c>
      <c r="EU251">
        <v>0</v>
      </c>
      <c r="EV251">
        <v>0</v>
      </c>
      <c r="EW251">
        <v>9.92</v>
      </c>
      <c r="EX251">
        <v>0.4</v>
      </c>
      <c r="EY251">
        <v>0</v>
      </c>
      <c r="FQ251">
        <v>0</v>
      </c>
      <c r="FR251">
        <f t="shared" si="117"/>
        <v>0</v>
      </c>
      <c r="FS251">
        <v>0</v>
      </c>
      <c r="FX251">
        <v>97</v>
      </c>
      <c r="FY251">
        <v>51</v>
      </c>
      <c r="GA251" t="s">
        <v>6</v>
      </c>
      <c r="GD251">
        <v>1</v>
      </c>
      <c r="GF251">
        <v>1070674031</v>
      </c>
      <c r="GG251">
        <v>2</v>
      </c>
      <c r="GH251">
        <v>1</v>
      </c>
      <c r="GI251">
        <v>-2</v>
      </c>
      <c r="GJ251">
        <v>0</v>
      </c>
      <c r="GK251">
        <v>0</v>
      </c>
      <c r="GL251">
        <f t="shared" si="118"/>
        <v>0</v>
      </c>
      <c r="GM251">
        <f t="shared" si="119"/>
        <v>2122.9299999999998</v>
      </c>
      <c r="GN251">
        <f t="shared" si="120"/>
        <v>0</v>
      </c>
      <c r="GO251">
        <f t="shared" si="121"/>
        <v>2122.9299999999998</v>
      </c>
      <c r="GP251">
        <f t="shared" si="122"/>
        <v>0</v>
      </c>
      <c r="GR251">
        <v>0</v>
      </c>
      <c r="GS251">
        <v>3</v>
      </c>
      <c r="GT251">
        <v>0</v>
      </c>
      <c r="GU251" t="s">
        <v>6</v>
      </c>
      <c r="GV251">
        <f t="shared" si="123"/>
        <v>0</v>
      </c>
      <c r="GW251">
        <v>1</v>
      </c>
      <c r="GX251">
        <f t="shared" si="124"/>
        <v>0</v>
      </c>
      <c r="HA251">
        <v>0</v>
      </c>
      <c r="HB251">
        <v>0</v>
      </c>
      <c r="HC251">
        <f>GV251*GW251</f>
        <v>0</v>
      </c>
      <c r="HE251" t="s">
        <v>6</v>
      </c>
      <c r="HF251" t="s">
        <v>6</v>
      </c>
      <c r="HM251" t="s">
        <v>6</v>
      </c>
      <c r="HN251" t="s">
        <v>25</v>
      </c>
      <c r="HO251" t="s">
        <v>26</v>
      </c>
      <c r="HP251" t="s">
        <v>23</v>
      </c>
      <c r="HQ251" t="s">
        <v>23</v>
      </c>
      <c r="IK251">
        <v>0</v>
      </c>
    </row>
    <row r="252" spans="1:245">
      <c r="A252">
        <v>18</v>
      </c>
      <c r="B252">
        <v>1</v>
      </c>
      <c r="C252">
        <v>103</v>
      </c>
      <c r="E252" t="s">
        <v>201</v>
      </c>
      <c r="F252" t="s">
        <v>28</v>
      </c>
      <c r="G252" t="s">
        <v>29</v>
      </c>
      <c r="H252" t="s">
        <v>30</v>
      </c>
      <c r="I252">
        <f>J252</f>
        <v>2</v>
      </c>
      <c r="J252">
        <v>2</v>
      </c>
      <c r="K252">
        <v>2</v>
      </c>
      <c r="O252">
        <f>ROUND(P252,2)</f>
        <v>14.7</v>
      </c>
      <c r="P252">
        <f>ROUND(ROUND(ROUND(SUMIF(SmtRes!AQ94:'SmtRes'!AQ103,"=1",SmtRes!CU94:'SmtRes'!CU103),2),2)*I252/100,2)</f>
        <v>14.7</v>
      </c>
      <c r="Q252">
        <f>ROUND(CR252*I252,2)</f>
        <v>0</v>
      </c>
      <c r="R252">
        <f>ROUND(CS252*I252,2)</f>
        <v>0</v>
      </c>
      <c r="S252">
        <f>ROUND(CT252*I252,2)</f>
        <v>0</v>
      </c>
      <c r="T252">
        <f t="shared" si="110"/>
        <v>0</v>
      </c>
      <c r="U252">
        <f>CV252*I252</f>
        <v>0</v>
      </c>
      <c r="V252">
        <f>CW252*I252</f>
        <v>0</v>
      </c>
      <c r="W252">
        <f t="shared" si="111"/>
        <v>0</v>
      </c>
      <c r="X252">
        <f t="shared" si="112"/>
        <v>0</v>
      </c>
      <c r="Y252">
        <f t="shared" si="113"/>
        <v>0</v>
      </c>
      <c r="AA252">
        <v>41853493</v>
      </c>
      <c r="AB252">
        <f t="shared" si="114"/>
        <v>0</v>
      </c>
      <c r="AC252">
        <f>ROUND((ES252),2)</f>
        <v>0</v>
      </c>
      <c r="AD252">
        <f>ROUND((((ET252)-(EU252))+AE252),2)</f>
        <v>0</v>
      </c>
      <c r="AE252">
        <f>ROUND((EU252),2)</f>
        <v>0</v>
      </c>
      <c r="AF252">
        <f>ROUND((EV252),2)</f>
        <v>0</v>
      </c>
      <c r="AG252">
        <f t="shared" si="115"/>
        <v>0</v>
      </c>
      <c r="AH252">
        <f>(EW252)</f>
        <v>0</v>
      </c>
      <c r="AI252">
        <f>(EX252)</f>
        <v>0</v>
      </c>
      <c r="AJ252">
        <f t="shared" si="116"/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6</v>
      </c>
      <c r="BE252" t="s">
        <v>6</v>
      </c>
      <c r="BF252" t="s">
        <v>6</v>
      </c>
      <c r="BG252" t="s">
        <v>6</v>
      </c>
      <c r="BH252">
        <v>3</v>
      </c>
      <c r="BI252">
        <v>4</v>
      </c>
      <c r="BJ252" t="s">
        <v>6</v>
      </c>
      <c r="BM252">
        <v>0</v>
      </c>
      <c r="BN252">
        <v>0</v>
      </c>
      <c r="BO252" t="s">
        <v>6</v>
      </c>
      <c r="BP252">
        <v>0</v>
      </c>
      <c r="BQ252">
        <v>16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6</v>
      </c>
      <c r="BZ252">
        <v>0</v>
      </c>
      <c r="CA252">
        <v>0</v>
      </c>
      <c r="CB252" t="s">
        <v>6</v>
      </c>
      <c r="CE252">
        <v>0</v>
      </c>
      <c r="CF252">
        <v>0</v>
      </c>
      <c r="CG252">
        <v>0</v>
      </c>
      <c r="CM252">
        <v>0</v>
      </c>
      <c r="CN252" t="s">
        <v>6</v>
      </c>
      <c r="CO252">
        <v>0</v>
      </c>
      <c r="CP252">
        <f>0</f>
        <v>0</v>
      </c>
      <c r="CQ252">
        <f>0</f>
        <v>0</v>
      </c>
      <c r="CR252">
        <f>0</f>
        <v>0</v>
      </c>
      <c r="CS252">
        <f>0</f>
        <v>0</v>
      </c>
      <c r="CT252">
        <f>0</f>
        <v>0</v>
      </c>
      <c r="CU252">
        <f>0</f>
        <v>0</v>
      </c>
      <c r="CV252">
        <f>0</f>
        <v>0</v>
      </c>
      <c r="CW252">
        <f>0</f>
        <v>0</v>
      </c>
      <c r="CX252">
        <f>0</f>
        <v>0</v>
      </c>
      <c r="CY252">
        <f>0</f>
        <v>0</v>
      </c>
      <c r="CZ252">
        <f>0</f>
        <v>0</v>
      </c>
      <c r="DC252" t="s">
        <v>6</v>
      </c>
      <c r="DD252" t="s">
        <v>6</v>
      </c>
      <c r="DE252" t="s">
        <v>6</v>
      </c>
      <c r="DF252" t="s">
        <v>6</v>
      </c>
      <c r="DG252" t="s">
        <v>6</v>
      </c>
      <c r="DH252" t="s">
        <v>6</v>
      </c>
      <c r="DI252" t="s">
        <v>6</v>
      </c>
      <c r="DJ252" t="s">
        <v>6</v>
      </c>
      <c r="DK252" t="s">
        <v>6</v>
      </c>
      <c r="DL252" t="s">
        <v>6</v>
      </c>
      <c r="DM252" t="s">
        <v>6</v>
      </c>
      <c r="DN252">
        <v>0</v>
      </c>
      <c r="DO252">
        <v>0</v>
      </c>
      <c r="DP252">
        <v>1</v>
      </c>
      <c r="DQ252">
        <v>1</v>
      </c>
      <c r="DU252">
        <v>1013</v>
      </c>
      <c r="DV252" t="s">
        <v>30</v>
      </c>
      <c r="DW252" t="s">
        <v>30</v>
      </c>
      <c r="DX252">
        <v>1</v>
      </c>
      <c r="DZ252" t="s">
        <v>6</v>
      </c>
      <c r="EA252" t="s">
        <v>6</v>
      </c>
      <c r="EB252" t="s">
        <v>6</v>
      </c>
      <c r="EC252" t="s">
        <v>6</v>
      </c>
      <c r="EE252">
        <v>40604523</v>
      </c>
      <c r="EF252">
        <v>16</v>
      </c>
      <c r="EG252" t="s">
        <v>31</v>
      </c>
      <c r="EH252">
        <v>0</v>
      </c>
      <c r="EI252" t="s">
        <v>6</v>
      </c>
      <c r="EJ252">
        <v>4</v>
      </c>
      <c r="EK252">
        <v>0</v>
      </c>
      <c r="EL252" t="s">
        <v>32</v>
      </c>
      <c r="EM252" t="s">
        <v>33</v>
      </c>
      <c r="EO252" t="s">
        <v>6</v>
      </c>
      <c r="EQ252">
        <v>0</v>
      </c>
      <c r="ER252">
        <v>0</v>
      </c>
      <c r="ES252">
        <v>0</v>
      </c>
      <c r="ET252">
        <v>0</v>
      </c>
      <c r="EU252">
        <v>0</v>
      </c>
      <c r="EV252">
        <v>0</v>
      </c>
      <c r="EW252">
        <v>0</v>
      </c>
      <c r="EX252">
        <v>0</v>
      </c>
      <c r="FQ252">
        <v>0</v>
      </c>
      <c r="FR252">
        <f t="shared" si="117"/>
        <v>0</v>
      </c>
      <c r="FS252">
        <v>0</v>
      </c>
      <c r="FX252">
        <v>0</v>
      </c>
      <c r="FY252">
        <v>0</v>
      </c>
      <c r="GA252" t="s">
        <v>6</v>
      </c>
      <c r="GD252">
        <v>1</v>
      </c>
      <c r="GF252">
        <v>274903907</v>
      </c>
      <c r="GG252">
        <v>2</v>
      </c>
      <c r="GH252">
        <v>1</v>
      </c>
      <c r="GI252">
        <v>-2</v>
      </c>
      <c r="GJ252">
        <v>0</v>
      </c>
      <c r="GK252">
        <v>0</v>
      </c>
      <c r="GL252">
        <f t="shared" si="118"/>
        <v>0</v>
      </c>
      <c r="GM252">
        <f t="shared" si="119"/>
        <v>14.7</v>
      </c>
      <c r="GN252">
        <f t="shared" si="120"/>
        <v>0</v>
      </c>
      <c r="GO252">
        <f t="shared" si="121"/>
        <v>0</v>
      </c>
      <c r="GP252">
        <f t="shared" si="122"/>
        <v>14.7</v>
      </c>
      <c r="GR252">
        <v>0</v>
      </c>
      <c r="GS252">
        <v>3</v>
      </c>
      <c r="GT252">
        <v>0</v>
      </c>
      <c r="GU252" t="s">
        <v>6</v>
      </c>
      <c r="GV252">
        <f t="shared" si="123"/>
        <v>0</v>
      </c>
      <c r="GW252">
        <v>1</v>
      </c>
      <c r="GX252">
        <f t="shared" si="124"/>
        <v>0</v>
      </c>
      <c r="HA252">
        <v>0</v>
      </c>
      <c r="HB252">
        <v>0</v>
      </c>
      <c r="HC252">
        <f>0</f>
        <v>0</v>
      </c>
      <c r="HE252" t="s">
        <v>6</v>
      </c>
      <c r="HF252" t="s">
        <v>6</v>
      </c>
      <c r="HM252" t="s">
        <v>6</v>
      </c>
      <c r="HN252" t="s">
        <v>6</v>
      </c>
      <c r="HO252" t="s">
        <v>6</v>
      </c>
      <c r="HP252" t="s">
        <v>6</v>
      </c>
      <c r="HQ252" t="s">
        <v>6</v>
      </c>
      <c r="IK252">
        <v>0</v>
      </c>
    </row>
    <row r="253" spans="1:245">
      <c r="A253">
        <v>17</v>
      </c>
      <c r="B253">
        <v>1</v>
      </c>
      <c r="C253">
        <f>ROW(SmtRes!A111)</f>
        <v>111</v>
      </c>
      <c r="D253">
        <f>ROW(EtalonRes!A111)</f>
        <v>111</v>
      </c>
      <c r="E253" t="s">
        <v>202</v>
      </c>
      <c r="F253" t="s">
        <v>203</v>
      </c>
      <c r="G253" t="s">
        <v>204</v>
      </c>
      <c r="H253" t="s">
        <v>194</v>
      </c>
      <c r="I253">
        <f>ROUND(2/100,7)</f>
        <v>0.02</v>
      </c>
      <c r="J253">
        <v>0</v>
      </c>
      <c r="K253">
        <f>ROUND(2/100,7)</f>
        <v>0.02</v>
      </c>
      <c r="O253">
        <f>ROUND(CP253,2)</f>
        <v>179.63</v>
      </c>
      <c r="P253">
        <f>SUMIF(SmtRes!AQ104:'SmtRes'!AQ111,"=1",SmtRes!DF104:'SmtRes'!DF111)</f>
        <v>82.49</v>
      </c>
      <c r="Q253">
        <f>SUMIF(SmtRes!AQ104:'SmtRes'!AQ111,"=1",SmtRes!DG104:'SmtRes'!DG111)</f>
        <v>8.9600000000000009</v>
      </c>
      <c r="R253">
        <f>SUMIF(SmtRes!AQ104:'SmtRes'!AQ111,"=1",SmtRes!DH104:'SmtRes'!DH111)</f>
        <v>2.84</v>
      </c>
      <c r="S253">
        <f>SUMIF(SmtRes!AQ104:'SmtRes'!AQ111,"=1",SmtRes!DI104:'SmtRes'!DI111)</f>
        <v>85.34</v>
      </c>
      <c r="T253">
        <f t="shared" si="110"/>
        <v>0</v>
      </c>
      <c r="U253">
        <f>SUMIF(SmtRes!AQ104:'SmtRes'!AQ111,"=1",SmtRes!CV104:'SmtRes'!CV111)</f>
        <v>0.28799999999999998</v>
      </c>
      <c r="V253">
        <f>SUMIF(SmtRes!AQ104:'SmtRes'!AQ111,"=1",SmtRes!CW104:'SmtRes'!CW111)</f>
        <v>6.2E-2</v>
      </c>
      <c r="W253">
        <f t="shared" si="111"/>
        <v>0</v>
      </c>
      <c r="X253">
        <f t="shared" si="112"/>
        <v>85.53</v>
      </c>
      <c r="Y253">
        <f t="shared" si="113"/>
        <v>44.97</v>
      </c>
      <c r="AA253">
        <v>41853493</v>
      </c>
      <c r="AB253">
        <f t="shared" si="114"/>
        <v>8228.01</v>
      </c>
      <c r="AC253">
        <f>ROUND((SUM(SmtRes!BQ104:'SmtRes'!BQ111)),2)</f>
        <v>3512.84</v>
      </c>
      <c r="AD253">
        <f>ROUND((((SUM(SmtRes!BR104:'SmtRes'!BR111))-(SUM(SmtRes!BS104:'SmtRes'!BS111)))+AE253),2)</f>
        <v>448.16</v>
      </c>
      <c r="AE253">
        <f>ROUND((SUM(SmtRes!BS104:'SmtRes'!BS111)),2)</f>
        <v>142.05000000000001</v>
      </c>
      <c r="AF253">
        <f>ROUND((SUM(SmtRes!BT104:'SmtRes'!BT111)),2)</f>
        <v>4267.01</v>
      </c>
      <c r="AG253">
        <f t="shared" si="115"/>
        <v>0</v>
      </c>
      <c r="AH253">
        <f>(SUM(SmtRes!BU104:'SmtRes'!BU111))</f>
        <v>14.4</v>
      </c>
      <c r="AI253">
        <f>(SUM(SmtRes!BV104:'SmtRes'!BV111))</f>
        <v>0.4</v>
      </c>
      <c r="AJ253">
        <f t="shared" si="116"/>
        <v>0</v>
      </c>
      <c r="AK253">
        <v>8370.0650000000005</v>
      </c>
      <c r="AL253">
        <v>3512.8389999999999</v>
      </c>
      <c r="AM253">
        <v>448.16400000000004</v>
      </c>
      <c r="AN253">
        <v>142.05400000000003</v>
      </c>
      <c r="AO253">
        <v>4267.0079999999998</v>
      </c>
      <c r="AP253">
        <v>0</v>
      </c>
      <c r="AQ253">
        <v>14.4</v>
      </c>
      <c r="AR253">
        <v>0.4</v>
      </c>
      <c r="AS253">
        <v>0</v>
      </c>
      <c r="AT253">
        <v>97</v>
      </c>
      <c r="AU253">
        <v>51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6</v>
      </c>
      <c r="BE253" t="s">
        <v>6</v>
      </c>
      <c r="BF253" t="s">
        <v>6</v>
      </c>
      <c r="BG253" t="s">
        <v>6</v>
      </c>
      <c r="BH253">
        <v>0</v>
      </c>
      <c r="BI253">
        <v>2</v>
      </c>
      <c r="BJ253" t="s">
        <v>205</v>
      </c>
      <c r="BM253">
        <v>108001</v>
      </c>
      <c r="BN253">
        <v>0</v>
      </c>
      <c r="BO253" t="s">
        <v>6</v>
      </c>
      <c r="BP253">
        <v>0</v>
      </c>
      <c r="BQ253">
        <v>3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6</v>
      </c>
      <c r="BZ253">
        <v>97</v>
      </c>
      <c r="CA253">
        <v>51</v>
      </c>
      <c r="CB253" t="s">
        <v>6</v>
      </c>
      <c r="CE253">
        <v>0</v>
      </c>
      <c r="CF253">
        <v>0</v>
      </c>
      <c r="CG253">
        <v>0</v>
      </c>
      <c r="CM253">
        <v>0</v>
      </c>
      <c r="CN253" t="s">
        <v>6</v>
      </c>
      <c r="CO253">
        <v>0</v>
      </c>
      <c r="CP253">
        <f>(P253+Q253+S253+R253)</f>
        <v>179.63</v>
      </c>
      <c r="CQ253">
        <f>SUMIF(SmtRes!AQ104:'SmtRes'!AQ111,"=1",SmtRes!AA104:'SmtRes'!AA111)</f>
        <v>1235.94</v>
      </c>
      <c r="CR253">
        <f>SUMIF(SmtRes!AQ104:'SmtRes'!AQ111,"=1",SmtRes!AB104:'SmtRes'!AB111)</f>
        <v>2018.57</v>
      </c>
      <c r="CS253">
        <f>SUMIF(SmtRes!AQ104:'SmtRes'!AQ111,"=1",SmtRes!AC104:'SmtRes'!AC111)</f>
        <v>710.27</v>
      </c>
      <c r="CT253">
        <f>SUMIF(SmtRes!AQ104:'SmtRes'!AQ111,"=1",SmtRes!AD104:'SmtRes'!AD111)</f>
        <v>296.32</v>
      </c>
      <c r="CU253">
        <f>AG253</f>
        <v>0</v>
      </c>
      <c r="CV253">
        <f>SUMIF(SmtRes!AQ104:'SmtRes'!AQ111,"=1",SmtRes!BU104:'SmtRes'!BU111)</f>
        <v>14.4</v>
      </c>
      <c r="CW253">
        <f>SUMIF(SmtRes!AQ104:'SmtRes'!AQ111,"=1",SmtRes!BV104:'SmtRes'!BV111)</f>
        <v>0.4</v>
      </c>
      <c r="CX253">
        <f>AJ253</f>
        <v>0</v>
      </c>
      <c r="CY253">
        <f>(((S253+R253)*AT253)/100)</f>
        <v>85.534600000000012</v>
      </c>
      <c r="CZ253">
        <f>(((S253+R253)*AU253)/100)</f>
        <v>44.971800000000002</v>
      </c>
      <c r="DC253" t="s">
        <v>6</v>
      </c>
      <c r="DD253" t="s">
        <v>6</v>
      </c>
      <c r="DE253" t="s">
        <v>6</v>
      </c>
      <c r="DF253" t="s">
        <v>6</v>
      </c>
      <c r="DG253" t="s">
        <v>6</v>
      </c>
      <c r="DH253" t="s">
        <v>6</v>
      </c>
      <c r="DI253" t="s">
        <v>6</v>
      </c>
      <c r="DJ253" t="s">
        <v>6</v>
      </c>
      <c r="DK253" t="s">
        <v>6</v>
      </c>
      <c r="DL253" t="s">
        <v>6</v>
      </c>
      <c r="DM253" t="s">
        <v>6</v>
      </c>
      <c r="DN253">
        <v>0</v>
      </c>
      <c r="DO253">
        <v>0</v>
      </c>
      <c r="DP253">
        <v>1</v>
      </c>
      <c r="DQ253">
        <v>1</v>
      </c>
      <c r="DU253">
        <v>1003</v>
      </c>
      <c r="DV253" t="s">
        <v>194</v>
      </c>
      <c r="DW253" t="s">
        <v>194</v>
      </c>
      <c r="DX253">
        <v>100</v>
      </c>
      <c r="DZ253" t="s">
        <v>6</v>
      </c>
      <c r="EA253" t="s">
        <v>6</v>
      </c>
      <c r="EB253" t="s">
        <v>6</v>
      </c>
      <c r="EC253" t="s">
        <v>6</v>
      </c>
      <c r="EE253">
        <v>40604465</v>
      </c>
      <c r="EF253">
        <v>3</v>
      </c>
      <c r="EG253" t="s">
        <v>22</v>
      </c>
      <c r="EH253">
        <v>0</v>
      </c>
      <c r="EI253" t="s">
        <v>6</v>
      </c>
      <c r="EJ253">
        <v>2</v>
      </c>
      <c r="EK253">
        <v>108001</v>
      </c>
      <c r="EL253" t="s">
        <v>23</v>
      </c>
      <c r="EM253" t="s">
        <v>24</v>
      </c>
      <c r="EO253" t="s">
        <v>6</v>
      </c>
      <c r="EQ253">
        <v>0</v>
      </c>
      <c r="ER253">
        <v>0</v>
      </c>
      <c r="ES253">
        <v>0</v>
      </c>
      <c r="ET253">
        <v>0</v>
      </c>
      <c r="EU253">
        <v>0</v>
      </c>
      <c r="EV253">
        <v>0</v>
      </c>
      <c r="EW253">
        <v>14.4</v>
      </c>
      <c r="EX253">
        <v>0.4</v>
      </c>
      <c r="EY253">
        <v>0</v>
      </c>
      <c r="FQ253">
        <v>0</v>
      </c>
      <c r="FR253">
        <f t="shared" si="117"/>
        <v>0</v>
      </c>
      <c r="FS253">
        <v>0</v>
      </c>
      <c r="FX253">
        <v>97</v>
      </c>
      <c r="FY253">
        <v>51</v>
      </c>
      <c r="GA253" t="s">
        <v>6</v>
      </c>
      <c r="GD253">
        <v>1</v>
      </c>
      <c r="GF253">
        <v>-1055403452</v>
      </c>
      <c r="GG253">
        <v>2</v>
      </c>
      <c r="GH253">
        <v>1</v>
      </c>
      <c r="GI253">
        <v>-2</v>
      </c>
      <c r="GJ253">
        <v>0</v>
      </c>
      <c r="GK253">
        <v>0</v>
      </c>
      <c r="GL253">
        <f t="shared" si="118"/>
        <v>0</v>
      </c>
      <c r="GM253">
        <f t="shared" si="119"/>
        <v>310.13</v>
      </c>
      <c r="GN253">
        <f t="shared" si="120"/>
        <v>0</v>
      </c>
      <c r="GO253">
        <f t="shared" si="121"/>
        <v>310.13</v>
      </c>
      <c r="GP253">
        <f t="shared" si="122"/>
        <v>0</v>
      </c>
      <c r="GR253">
        <v>0</v>
      </c>
      <c r="GS253">
        <v>3</v>
      </c>
      <c r="GT253">
        <v>0</v>
      </c>
      <c r="GU253" t="s">
        <v>6</v>
      </c>
      <c r="GV253">
        <f t="shared" si="123"/>
        <v>0</v>
      </c>
      <c r="GW253">
        <v>1</v>
      </c>
      <c r="GX253">
        <f t="shared" si="124"/>
        <v>0</v>
      </c>
      <c r="HA253">
        <v>0</v>
      </c>
      <c r="HB253">
        <v>0</v>
      </c>
      <c r="HC253">
        <f>GV253*GW253</f>
        <v>0</v>
      </c>
      <c r="HE253" t="s">
        <v>6</v>
      </c>
      <c r="HF253" t="s">
        <v>6</v>
      </c>
      <c r="HM253" t="s">
        <v>6</v>
      </c>
      <c r="HN253" t="s">
        <v>25</v>
      </c>
      <c r="HO253" t="s">
        <v>26</v>
      </c>
      <c r="HP253" t="s">
        <v>23</v>
      </c>
      <c r="HQ253" t="s">
        <v>23</v>
      </c>
      <c r="IK253">
        <v>0</v>
      </c>
    </row>
    <row r="254" spans="1:245">
      <c r="A254">
        <v>18</v>
      </c>
      <c r="B254">
        <v>1</v>
      </c>
      <c r="C254">
        <v>111</v>
      </c>
      <c r="E254" t="s">
        <v>206</v>
      </c>
      <c r="F254" t="s">
        <v>28</v>
      </c>
      <c r="G254" t="s">
        <v>29</v>
      </c>
      <c r="H254" t="s">
        <v>30</v>
      </c>
      <c r="I254">
        <f>J254</f>
        <v>2</v>
      </c>
      <c r="J254">
        <v>2</v>
      </c>
      <c r="K254">
        <v>2</v>
      </c>
      <c r="O254">
        <f>ROUND(P254,2)</f>
        <v>1.71</v>
      </c>
      <c r="P254">
        <f>ROUND(ROUND(ROUND(SUMIF(SmtRes!AQ104:'SmtRes'!AQ111,"=1",SmtRes!CU104:'SmtRes'!CU111),2),2)*I254/100,2)</f>
        <v>1.71</v>
      </c>
      <c r="Q254">
        <f>ROUND(CR254*I254,2)</f>
        <v>0</v>
      </c>
      <c r="R254">
        <f>ROUND(CS254*I254,2)</f>
        <v>0</v>
      </c>
      <c r="S254">
        <f>ROUND(CT254*I254,2)</f>
        <v>0</v>
      </c>
      <c r="T254">
        <f t="shared" si="110"/>
        <v>0</v>
      </c>
      <c r="U254">
        <f>CV254*I254</f>
        <v>0</v>
      </c>
      <c r="V254">
        <f>CW254*I254</f>
        <v>0</v>
      </c>
      <c r="W254">
        <f t="shared" si="111"/>
        <v>0</v>
      </c>
      <c r="X254">
        <f t="shared" si="112"/>
        <v>0</v>
      </c>
      <c r="Y254">
        <f t="shared" si="113"/>
        <v>0</v>
      </c>
      <c r="AA254">
        <v>41853493</v>
      </c>
      <c r="AB254">
        <f t="shared" si="114"/>
        <v>0</v>
      </c>
      <c r="AC254">
        <f>ROUND((ES254),2)</f>
        <v>0</v>
      </c>
      <c r="AD254">
        <f>ROUND((((ET254)-(EU254))+AE254),2)</f>
        <v>0</v>
      </c>
      <c r="AE254">
        <f>ROUND((EU254),2)</f>
        <v>0</v>
      </c>
      <c r="AF254">
        <f>ROUND((EV254),2)</f>
        <v>0</v>
      </c>
      <c r="AG254">
        <f t="shared" si="115"/>
        <v>0</v>
      </c>
      <c r="AH254">
        <f>(EW254)</f>
        <v>0</v>
      </c>
      <c r="AI254">
        <f>(EX254)</f>
        <v>0</v>
      </c>
      <c r="AJ254">
        <f t="shared" si="116"/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6</v>
      </c>
      <c r="BE254" t="s">
        <v>6</v>
      </c>
      <c r="BF254" t="s">
        <v>6</v>
      </c>
      <c r="BG254" t="s">
        <v>6</v>
      </c>
      <c r="BH254">
        <v>3</v>
      </c>
      <c r="BI254">
        <v>4</v>
      </c>
      <c r="BJ254" t="s">
        <v>6</v>
      </c>
      <c r="BM254">
        <v>0</v>
      </c>
      <c r="BN254">
        <v>0</v>
      </c>
      <c r="BO254" t="s">
        <v>6</v>
      </c>
      <c r="BP254">
        <v>0</v>
      </c>
      <c r="BQ254">
        <v>16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6</v>
      </c>
      <c r="BZ254">
        <v>0</v>
      </c>
      <c r="CA254">
        <v>0</v>
      </c>
      <c r="CB254" t="s">
        <v>6</v>
      </c>
      <c r="CE254">
        <v>0</v>
      </c>
      <c r="CF254">
        <v>0</v>
      </c>
      <c r="CG254">
        <v>0</v>
      </c>
      <c r="CM254">
        <v>0</v>
      </c>
      <c r="CN254" t="s">
        <v>6</v>
      </c>
      <c r="CO254">
        <v>0</v>
      </c>
      <c r="CP254">
        <f>0</f>
        <v>0</v>
      </c>
      <c r="CQ254">
        <f>0</f>
        <v>0</v>
      </c>
      <c r="CR254">
        <f>0</f>
        <v>0</v>
      </c>
      <c r="CS254">
        <f>0</f>
        <v>0</v>
      </c>
      <c r="CT254">
        <f>0</f>
        <v>0</v>
      </c>
      <c r="CU254">
        <f>0</f>
        <v>0</v>
      </c>
      <c r="CV254">
        <f>0</f>
        <v>0</v>
      </c>
      <c r="CW254">
        <f>0</f>
        <v>0</v>
      </c>
      <c r="CX254">
        <f>0</f>
        <v>0</v>
      </c>
      <c r="CY254">
        <f>0</f>
        <v>0</v>
      </c>
      <c r="CZ254">
        <f>0</f>
        <v>0</v>
      </c>
      <c r="DC254" t="s">
        <v>6</v>
      </c>
      <c r="DD254" t="s">
        <v>6</v>
      </c>
      <c r="DE254" t="s">
        <v>6</v>
      </c>
      <c r="DF254" t="s">
        <v>6</v>
      </c>
      <c r="DG254" t="s">
        <v>6</v>
      </c>
      <c r="DH254" t="s">
        <v>6</v>
      </c>
      <c r="DI254" t="s">
        <v>6</v>
      </c>
      <c r="DJ254" t="s">
        <v>6</v>
      </c>
      <c r="DK254" t="s">
        <v>6</v>
      </c>
      <c r="DL254" t="s">
        <v>6</v>
      </c>
      <c r="DM254" t="s">
        <v>6</v>
      </c>
      <c r="DN254">
        <v>0</v>
      </c>
      <c r="DO254">
        <v>0</v>
      </c>
      <c r="DP254">
        <v>1</v>
      </c>
      <c r="DQ254">
        <v>1</v>
      </c>
      <c r="DU254">
        <v>1013</v>
      </c>
      <c r="DV254" t="s">
        <v>30</v>
      </c>
      <c r="DW254" t="s">
        <v>30</v>
      </c>
      <c r="DX254">
        <v>1</v>
      </c>
      <c r="DZ254" t="s">
        <v>6</v>
      </c>
      <c r="EA254" t="s">
        <v>6</v>
      </c>
      <c r="EB254" t="s">
        <v>6</v>
      </c>
      <c r="EC254" t="s">
        <v>6</v>
      </c>
      <c r="EE254">
        <v>40604523</v>
      </c>
      <c r="EF254">
        <v>16</v>
      </c>
      <c r="EG254" t="s">
        <v>31</v>
      </c>
      <c r="EH254">
        <v>0</v>
      </c>
      <c r="EI254" t="s">
        <v>6</v>
      </c>
      <c r="EJ254">
        <v>4</v>
      </c>
      <c r="EK254">
        <v>0</v>
      </c>
      <c r="EL254" t="s">
        <v>32</v>
      </c>
      <c r="EM254" t="s">
        <v>33</v>
      </c>
      <c r="EO254" t="s">
        <v>6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FQ254">
        <v>0</v>
      </c>
      <c r="FR254">
        <f t="shared" si="117"/>
        <v>0</v>
      </c>
      <c r="FS254">
        <v>0</v>
      </c>
      <c r="FX254">
        <v>0</v>
      </c>
      <c r="FY254">
        <v>0</v>
      </c>
      <c r="GA254" t="s">
        <v>6</v>
      </c>
      <c r="GD254">
        <v>1</v>
      </c>
      <c r="GF254">
        <v>274903907</v>
      </c>
      <c r="GG254">
        <v>2</v>
      </c>
      <c r="GH254">
        <v>1</v>
      </c>
      <c r="GI254">
        <v>-2</v>
      </c>
      <c r="GJ254">
        <v>0</v>
      </c>
      <c r="GK254">
        <v>0</v>
      </c>
      <c r="GL254">
        <f t="shared" si="118"/>
        <v>0</v>
      </c>
      <c r="GM254">
        <f t="shared" si="119"/>
        <v>1.71</v>
      </c>
      <c r="GN254">
        <f t="shared" si="120"/>
        <v>0</v>
      </c>
      <c r="GO254">
        <f t="shared" si="121"/>
        <v>0</v>
      </c>
      <c r="GP254">
        <f t="shared" si="122"/>
        <v>1.71</v>
      </c>
      <c r="GR254">
        <v>0</v>
      </c>
      <c r="GS254">
        <v>3</v>
      </c>
      <c r="GT254">
        <v>0</v>
      </c>
      <c r="GU254" t="s">
        <v>6</v>
      </c>
      <c r="GV254">
        <f t="shared" si="123"/>
        <v>0</v>
      </c>
      <c r="GW254">
        <v>1</v>
      </c>
      <c r="GX254">
        <f t="shared" si="124"/>
        <v>0</v>
      </c>
      <c r="HA254">
        <v>0</v>
      </c>
      <c r="HB254">
        <v>0</v>
      </c>
      <c r="HC254">
        <f>0</f>
        <v>0</v>
      </c>
      <c r="HE254" t="s">
        <v>6</v>
      </c>
      <c r="HF254" t="s">
        <v>6</v>
      </c>
      <c r="HM254" t="s">
        <v>6</v>
      </c>
      <c r="HN254" t="s">
        <v>6</v>
      </c>
      <c r="HO254" t="s">
        <v>6</v>
      </c>
      <c r="HP254" t="s">
        <v>6</v>
      </c>
      <c r="HQ254" t="s">
        <v>6</v>
      </c>
      <c r="IK254">
        <v>0</v>
      </c>
    </row>
    <row r="256" spans="1:245">
      <c r="A256" s="2">
        <v>51</v>
      </c>
      <c r="B256" s="2">
        <f>B233</f>
        <v>1</v>
      </c>
      <c r="C256" s="2">
        <f>A233</f>
        <v>4</v>
      </c>
      <c r="D256" s="2">
        <f>ROW(A233)</f>
        <v>233</v>
      </c>
      <c r="E256" s="2"/>
      <c r="F256" s="2" t="str">
        <f>IF(F233&lt;&gt;"",F233,"")</f>
        <v>Новый раздел</v>
      </c>
      <c r="G256" s="2" t="str">
        <f>IF(G233&lt;&gt;"",G233,"")</f>
        <v>Узел учета в КТП</v>
      </c>
      <c r="H256" s="2">
        <v>0</v>
      </c>
      <c r="I256" s="2"/>
      <c r="J256" s="2"/>
      <c r="K256" s="2"/>
      <c r="L256" s="2"/>
      <c r="M256" s="2"/>
      <c r="N256" s="2"/>
      <c r="O256" s="2">
        <f t="shared" ref="O256:T256" si="125">ROUND(AB256,2)</f>
        <v>51674.67</v>
      </c>
      <c r="P256" s="2">
        <f t="shared" si="125"/>
        <v>12828.5</v>
      </c>
      <c r="Q256" s="2">
        <f t="shared" si="125"/>
        <v>1836.93</v>
      </c>
      <c r="R256" s="2">
        <f t="shared" si="125"/>
        <v>671.18</v>
      </c>
      <c r="S256" s="2">
        <f t="shared" si="125"/>
        <v>36338.06</v>
      </c>
      <c r="T256" s="2">
        <f t="shared" si="125"/>
        <v>0</v>
      </c>
      <c r="U256" s="2">
        <f>AH256</f>
        <v>103.598</v>
      </c>
      <c r="V256" s="2">
        <f>AI256</f>
        <v>8.9239999999999995</v>
      </c>
      <c r="W256" s="2">
        <f>ROUND(AJ256,2)</f>
        <v>0</v>
      </c>
      <c r="X256" s="2">
        <f>ROUND(AK256,2)</f>
        <v>34857.72</v>
      </c>
      <c r="Y256" s="2">
        <f>ROUND(AL256,2)</f>
        <v>18130.96</v>
      </c>
      <c r="Z256" s="2"/>
      <c r="AA256" s="2"/>
      <c r="AB256" s="2">
        <f>ROUND(SUMIF(AA237:AA254,"=41853493",O237:O254),2)</f>
        <v>51674.67</v>
      </c>
      <c r="AC256" s="2">
        <f>ROUND(SUMIF(AA237:AA254,"=41853493",P237:P254),2)</f>
        <v>12828.5</v>
      </c>
      <c r="AD256" s="2">
        <f>ROUND(SUMIF(AA237:AA254,"=41853493",Q237:Q254),2)</f>
        <v>1836.93</v>
      </c>
      <c r="AE256" s="2">
        <f>ROUND(SUMIF(AA237:AA254,"=41853493",R237:R254),2)</f>
        <v>671.18</v>
      </c>
      <c r="AF256" s="2">
        <f>ROUND(SUMIF(AA237:AA254,"=41853493",S237:S254),2)</f>
        <v>36338.06</v>
      </c>
      <c r="AG256" s="2">
        <f>ROUND(SUMIF(AA237:AA254,"=41853493",T237:T254),2)</f>
        <v>0</v>
      </c>
      <c r="AH256" s="2">
        <f>SUMIF(AA237:AA254,"=41853493",U237:U254)</f>
        <v>103.598</v>
      </c>
      <c r="AI256" s="2">
        <f>SUMIF(AA237:AA254,"=41853493",V237:V254)</f>
        <v>8.9239999999999995</v>
      </c>
      <c r="AJ256" s="2">
        <f>ROUND(SUMIF(AA237:AA254,"=41853493",W237:W254),2)</f>
        <v>0</v>
      </c>
      <c r="AK256" s="2">
        <f>ROUND(SUMIF(AA237:AA254,"=41853493",X237:X254),2)</f>
        <v>34857.72</v>
      </c>
      <c r="AL256" s="2">
        <f>ROUND(SUMIF(AA237:AA254,"=41853493",Y237:Y254),2)</f>
        <v>18130.96</v>
      </c>
      <c r="AM256" s="2"/>
      <c r="AN256" s="2"/>
      <c r="AO256" s="2">
        <f t="shared" ref="AO256:BD256" si="126">ROUND(BX256,2)</f>
        <v>0</v>
      </c>
      <c r="AP256" s="2">
        <f t="shared" si="126"/>
        <v>0</v>
      </c>
      <c r="AQ256" s="2">
        <f t="shared" si="126"/>
        <v>0</v>
      </c>
      <c r="AR256" s="2">
        <f t="shared" si="126"/>
        <v>104663.35</v>
      </c>
      <c r="AS256" s="2">
        <f t="shared" si="126"/>
        <v>0</v>
      </c>
      <c r="AT256" s="2">
        <f t="shared" si="126"/>
        <v>103936.59</v>
      </c>
      <c r="AU256" s="2">
        <f t="shared" si="126"/>
        <v>726.76</v>
      </c>
      <c r="AV256" s="2">
        <f t="shared" si="126"/>
        <v>12828.5</v>
      </c>
      <c r="AW256" s="2">
        <f t="shared" si="126"/>
        <v>12828.5</v>
      </c>
      <c r="AX256" s="2">
        <f t="shared" si="126"/>
        <v>0</v>
      </c>
      <c r="AY256" s="2">
        <f t="shared" si="126"/>
        <v>12828.5</v>
      </c>
      <c r="AZ256" s="2">
        <f t="shared" si="126"/>
        <v>0</v>
      </c>
      <c r="BA256" s="2">
        <f t="shared" si="126"/>
        <v>0</v>
      </c>
      <c r="BB256" s="2">
        <f t="shared" si="126"/>
        <v>0</v>
      </c>
      <c r="BC256" s="2">
        <f t="shared" si="126"/>
        <v>0</v>
      </c>
      <c r="BD256" s="2">
        <f t="shared" si="126"/>
        <v>0</v>
      </c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>
        <f>ROUND(SUMIF(AA237:AA254,"=41853493",FQ237:FQ254),2)</f>
        <v>0</v>
      </c>
      <c r="BY256" s="2">
        <f>ROUND(SUMIF(AA237:AA254,"=41853493",FR237:FR254),2)</f>
        <v>0</v>
      </c>
      <c r="BZ256" s="2">
        <f>ROUND(SUMIF(AA237:AA254,"=41853493",GL237:GL254),2)</f>
        <v>0</v>
      </c>
      <c r="CA256" s="2">
        <f>ROUND(SUMIF(AA237:AA254,"=41853493",GM237:GM254),2)</f>
        <v>104663.35</v>
      </c>
      <c r="CB256" s="2">
        <f>ROUND(SUMIF(AA237:AA254,"=41853493",GN237:GN254),2)</f>
        <v>0</v>
      </c>
      <c r="CC256" s="2">
        <f>ROUND(SUMIF(AA237:AA254,"=41853493",GO237:GO254),2)</f>
        <v>103936.59</v>
      </c>
      <c r="CD256" s="2">
        <f>ROUND(SUMIF(AA237:AA254,"=41853493",GP237:GP254),2)</f>
        <v>726.76</v>
      </c>
      <c r="CE256" s="2">
        <f>AC256-BX256</f>
        <v>12828.5</v>
      </c>
      <c r="CF256" s="2">
        <f>AC256-BY256</f>
        <v>12828.5</v>
      </c>
      <c r="CG256" s="2">
        <f>BX256-BZ256</f>
        <v>0</v>
      </c>
      <c r="CH256" s="2">
        <f>AC256-BX256-BY256+BZ256</f>
        <v>12828.5</v>
      </c>
      <c r="CI256" s="2">
        <f>BY256-BZ256</f>
        <v>0</v>
      </c>
      <c r="CJ256" s="2">
        <f>ROUND(SUMIF(AA237:AA254,"=41853493",GX237:GX254),2)</f>
        <v>0</v>
      </c>
      <c r="CK256" s="2">
        <f>ROUND(SUMIF(AA237:AA254,"=41853493",GY237:GY254),2)</f>
        <v>0</v>
      </c>
      <c r="CL256" s="2">
        <f>ROUND(SUMIF(AA237:AA254,"=41853493",GZ237:GZ254),2)</f>
        <v>0</v>
      </c>
      <c r="CM256" s="2">
        <f>ROUND(SUMIF(AA237:AA254,"=41853493",HD237:HD254),2)</f>
        <v>0</v>
      </c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>
        <v>0</v>
      </c>
    </row>
    <row r="258" spans="1:28">
      <c r="A258" s="4">
        <v>50</v>
      </c>
      <c r="B258" s="4">
        <v>1</v>
      </c>
      <c r="C258" s="4">
        <v>0</v>
      </c>
      <c r="D258" s="4">
        <v>1</v>
      </c>
      <c r="E258" s="4">
        <v>201</v>
      </c>
      <c r="F258" s="4">
        <f>ROUND(Source!O256,O258)</f>
        <v>51674.67</v>
      </c>
      <c r="G258" s="4" t="s">
        <v>47</v>
      </c>
      <c r="H258" s="4" t="s">
        <v>48</v>
      </c>
      <c r="I258" s="4"/>
      <c r="J258" s="4"/>
      <c r="K258" s="4">
        <v>201</v>
      </c>
      <c r="L258" s="4">
        <v>1</v>
      </c>
      <c r="M258" s="4">
        <v>1</v>
      </c>
      <c r="N258" s="4" t="s">
        <v>6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51674.67</v>
      </c>
      <c r="X258" s="4">
        <v>1</v>
      </c>
      <c r="Y258" s="4">
        <v>51674.67</v>
      </c>
      <c r="Z258" s="4"/>
      <c r="AA258" s="4"/>
      <c r="AB258" s="4"/>
    </row>
    <row r="259" spans="1:28">
      <c r="A259" s="4">
        <v>50</v>
      </c>
      <c r="B259" s="4">
        <v>1</v>
      </c>
      <c r="C259" s="4">
        <v>0</v>
      </c>
      <c r="D259" s="4">
        <v>1</v>
      </c>
      <c r="E259" s="4">
        <v>202</v>
      </c>
      <c r="F259" s="4">
        <f>ROUND(Source!P256,O259)</f>
        <v>12828.5</v>
      </c>
      <c r="G259" s="4" t="s">
        <v>49</v>
      </c>
      <c r="H259" s="4" t="s">
        <v>50</v>
      </c>
      <c r="I259" s="4"/>
      <c r="J259" s="4"/>
      <c r="K259" s="4">
        <v>202</v>
      </c>
      <c r="L259" s="4">
        <v>2</v>
      </c>
      <c r="M259" s="4">
        <v>1</v>
      </c>
      <c r="N259" s="4" t="s">
        <v>6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12828.5</v>
      </c>
      <c r="X259" s="4">
        <v>1</v>
      </c>
      <c r="Y259" s="4">
        <v>12828.5</v>
      </c>
      <c r="Z259" s="4"/>
      <c r="AA259" s="4"/>
      <c r="AB259" s="4"/>
    </row>
    <row r="260" spans="1:28">
      <c r="A260" s="4">
        <v>50</v>
      </c>
      <c r="B260" s="4">
        <v>0</v>
      </c>
      <c r="C260" s="4">
        <v>0</v>
      </c>
      <c r="D260" s="4">
        <v>1</v>
      </c>
      <c r="E260" s="4">
        <v>222</v>
      </c>
      <c r="F260" s="4">
        <f>ROUND(Source!AO256,O260)</f>
        <v>0</v>
      </c>
      <c r="G260" s="4" t="s">
        <v>51</v>
      </c>
      <c r="H260" s="4" t="s">
        <v>52</v>
      </c>
      <c r="I260" s="4"/>
      <c r="J260" s="4"/>
      <c r="K260" s="4">
        <v>222</v>
      </c>
      <c r="L260" s="4">
        <v>3</v>
      </c>
      <c r="M260" s="4">
        <v>3</v>
      </c>
      <c r="N260" s="4" t="s">
        <v>6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>
      <c r="A261" s="4">
        <v>50</v>
      </c>
      <c r="B261" s="4">
        <v>0</v>
      </c>
      <c r="C261" s="4">
        <v>0</v>
      </c>
      <c r="D261" s="4">
        <v>1</v>
      </c>
      <c r="E261" s="4">
        <v>225</v>
      </c>
      <c r="F261" s="4">
        <f>ROUND(Source!AV256,O261)</f>
        <v>12828.5</v>
      </c>
      <c r="G261" s="4" t="s">
        <v>53</v>
      </c>
      <c r="H261" s="4" t="s">
        <v>54</v>
      </c>
      <c r="I261" s="4"/>
      <c r="J261" s="4"/>
      <c r="K261" s="4">
        <v>225</v>
      </c>
      <c r="L261" s="4">
        <v>4</v>
      </c>
      <c r="M261" s="4">
        <v>3</v>
      </c>
      <c r="N261" s="4" t="s">
        <v>6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12828.5</v>
      </c>
      <c r="X261" s="4">
        <v>1</v>
      </c>
      <c r="Y261" s="4">
        <v>12828.5</v>
      </c>
      <c r="Z261" s="4"/>
      <c r="AA261" s="4"/>
      <c r="AB261" s="4"/>
    </row>
    <row r="262" spans="1:28">
      <c r="A262" s="4">
        <v>50</v>
      </c>
      <c r="B262" s="4">
        <v>0</v>
      </c>
      <c r="C262" s="4">
        <v>0</v>
      </c>
      <c r="D262" s="4">
        <v>1</v>
      </c>
      <c r="E262" s="4">
        <v>226</v>
      </c>
      <c r="F262" s="4">
        <f>ROUND(Source!AW256,O262)</f>
        <v>12828.5</v>
      </c>
      <c r="G262" s="4" t="s">
        <v>55</v>
      </c>
      <c r="H262" s="4" t="s">
        <v>56</v>
      </c>
      <c r="I262" s="4"/>
      <c r="J262" s="4"/>
      <c r="K262" s="4">
        <v>226</v>
      </c>
      <c r="L262" s="4">
        <v>5</v>
      </c>
      <c r="M262" s="4">
        <v>3</v>
      </c>
      <c r="N262" s="4" t="s">
        <v>6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12828.5</v>
      </c>
      <c r="X262" s="4">
        <v>1</v>
      </c>
      <c r="Y262" s="4">
        <v>12828.5</v>
      </c>
      <c r="Z262" s="4"/>
      <c r="AA262" s="4"/>
      <c r="AB262" s="4"/>
    </row>
    <row r="263" spans="1:28">
      <c r="A263" s="4">
        <v>50</v>
      </c>
      <c r="B263" s="4">
        <v>0</v>
      </c>
      <c r="C263" s="4">
        <v>0</v>
      </c>
      <c r="D263" s="4">
        <v>1</v>
      </c>
      <c r="E263" s="4">
        <v>227</v>
      </c>
      <c r="F263" s="4">
        <f>ROUND(Source!AX256,O263)</f>
        <v>0</v>
      </c>
      <c r="G263" s="4" t="s">
        <v>57</v>
      </c>
      <c r="H263" s="4" t="s">
        <v>58</v>
      </c>
      <c r="I263" s="4"/>
      <c r="J263" s="4"/>
      <c r="K263" s="4">
        <v>227</v>
      </c>
      <c r="L263" s="4">
        <v>6</v>
      </c>
      <c r="M263" s="4">
        <v>3</v>
      </c>
      <c r="N263" s="4" t="s">
        <v>6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>
      <c r="A264" s="4">
        <v>50</v>
      </c>
      <c r="B264" s="4">
        <v>0</v>
      </c>
      <c r="C264" s="4">
        <v>0</v>
      </c>
      <c r="D264" s="4">
        <v>1</v>
      </c>
      <c r="E264" s="4">
        <v>228</v>
      </c>
      <c r="F264" s="4">
        <f>ROUND(Source!AY256,O264)</f>
        <v>12828.5</v>
      </c>
      <c r="G264" s="4" t="s">
        <v>59</v>
      </c>
      <c r="H264" s="4" t="s">
        <v>60</v>
      </c>
      <c r="I264" s="4"/>
      <c r="J264" s="4"/>
      <c r="K264" s="4">
        <v>228</v>
      </c>
      <c r="L264" s="4">
        <v>7</v>
      </c>
      <c r="M264" s="4">
        <v>3</v>
      </c>
      <c r="N264" s="4" t="s">
        <v>6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12828.5</v>
      </c>
      <c r="X264" s="4">
        <v>1</v>
      </c>
      <c r="Y264" s="4">
        <v>12828.5</v>
      </c>
      <c r="Z264" s="4"/>
      <c r="AA264" s="4"/>
      <c r="AB264" s="4"/>
    </row>
    <row r="265" spans="1:28">
      <c r="A265" s="4">
        <v>50</v>
      </c>
      <c r="B265" s="4">
        <v>0</v>
      </c>
      <c r="C265" s="4">
        <v>0</v>
      </c>
      <c r="D265" s="4">
        <v>1</v>
      </c>
      <c r="E265" s="4">
        <v>216</v>
      </c>
      <c r="F265" s="4">
        <f>ROUND(Source!AP256,O265)</f>
        <v>0</v>
      </c>
      <c r="G265" s="4" t="s">
        <v>61</v>
      </c>
      <c r="H265" s="4" t="s">
        <v>62</v>
      </c>
      <c r="I265" s="4"/>
      <c r="J265" s="4"/>
      <c r="K265" s="4">
        <v>216</v>
      </c>
      <c r="L265" s="4">
        <v>8</v>
      </c>
      <c r="M265" s="4">
        <v>3</v>
      </c>
      <c r="N265" s="4" t="s">
        <v>6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>
      <c r="A266" s="4">
        <v>50</v>
      </c>
      <c r="B266" s="4">
        <v>0</v>
      </c>
      <c r="C266" s="4">
        <v>0</v>
      </c>
      <c r="D266" s="4">
        <v>1</v>
      </c>
      <c r="E266" s="4">
        <v>223</v>
      </c>
      <c r="F266" s="4">
        <f>ROUND(Source!AQ256,O266)</f>
        <v>0</v>
      </c>
      <c r="G266" s="4" t="s">
        <v>63</v>
      </c>
      <c r="H266" s="4" t="s">
        <v>64</v>
      </c>
      <c r="I266" s="4"/>
      <c r="J266" s="4"/>
      <c r="K266" s="4">
        <v>223</v>
      </c>
      <c r="L266" s="4">
        <v>9</v>
      </c>
      <c r="M266" s="4">
        <v>3</v>
      </c>
      <c r="N266" s="4" t="s">
        <v>6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>
      <c r="A267" s="4">
        <v>50</v>
      </c>
      <c r="B267" s="4">
        <v>0</v>
      </c>
      <c r="C267" s="4">
        <v>0</v>
      </c>
      <c r="D267" s="4">
        <v>1</v>
      </c>
      <c r="E267" s="4">
        <v>229</v>
      </c>
      <c r="F267" s="4">
        <f>ROUND(Source!AZ256,O267)</f>
        <v>0</v>
      </c>
      <c r="G267" s="4" t="s">
        <v>65</v>
      </c>
      <c r="H267" s="4" t="s">
        <v>66</v>
      </c>
      <c r="I267" s="4"/>
      <c r="J267" s="4"/>
      <c r="K267" s="4">
        <v>229</v>
      </c>
      <c r="L267" s="4">
        <v>10</v>
      </c>
      <c r="M267" s="4">
        <v>3</v>
      </c>
      <c r="N267" s="4" t="s">
        <v>6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>
      <c r="A268" s="4">
        <v>50</v>
      </c>
      <c r="B268" s="4">
        <v>1</v>
      </c>
      <c r="C268" s="4">
        <v>0</v>
      </c>
      <c r="D268" s="4">
        <v>1</v>
      </c>
      <c r="E268" s="4">
        <v>203</v>
      </c>
      <c r="F268" s="4">
        <f>ROUND(Source!Q256,O268)</f>
        <v>1836.93</v>
      </c>
      <c r="G268" s="4" t="s">
        <v>67</v>
      </c>
      <c r="H268" s="4" t="s">
        <v>68</v>
      </c>
      <c r="I268" s="4"/>
      <c r="J268" s="4"/>
      <c r="K268" s="4">
        <v>203</v>
      </c>
      <c r="L268" s="4">
        <v>11</v>
      </c>
      <c r="M268" s="4">
        <v>1</v>
      </c>
      <c r="N268" s="4" t="s">
        <v>6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1836.93</v>
      </c>
      <c r="X268" s="4">
        <v>1</v>
      </c>
      <c r="Y268" s="4">
        <v>1836.93</v>
      </c>
      <c r="Z268" s="4"/>
      <c r="AA268" s="4"/>
      <c r="AB268" s="4"/>
    </row>
    <row r="269" spans="1:28">
      <c r="A269" s="4">
        <v>50</v>
      </c>
      <c r="B269" s="4">
        <v>0</v>
      </c>
      <c r="C269" s="4">
        <v>0</v>
      </c>
      <c r="D269" s="4">
        <v>1</v>
      </c>
      <c r="E269" s="4">
        <v>231</v>
      </c>
      <c r="F269" s="4">
        <f>ROUND(Source!BB256,O269)</f>
        <v>0</v>
      </c>
      <c r="G269" s="4" t="s">
        <v>69</v>
      </c>
      <c r="H269" s="4" t="s">
        <v>70</v>
      </c>
      <c r="I269" s="4"/>
      <c r="J269" s="4"/>
      <c r="K269" s="4">
        <v>231</v>
      </c>
      <c r="L269" s="4">
        <v>12</v>
      </c>
      <c r="M269" s="4">
        <v>3</v>
      </c>
      <c r="N269" s="4" t="s">
        <v>6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>
      <c r="A270" s="4">
        <v>50</v>
      </c>
      <c r="B270" s="4">
        <v>1</v>
      </c>
      <c r="C270" s="4">
        <v>0</v>
      </c>
      <c r="D270" s="4">
        <v>1</v>
      </c>
      <c r="E270" s="4">
        <v>204</v>
      </c>
      <c r="F270" s="4">
        <f>ROUND(Source!R256,O270)</f>
        <v>671.18</v>
      </c>
      <c r="G270" s="4" t="s">
        <v>71</v>
      </c>
      <c r="H270" s="4" t="s">
        <v>72</v>
      </c>
      <c r="I270" s="4"/>
      <c r="J270" s="4"/>
      <c r="K270" s="4">
        <v>204</v>
      </c>
      <c r="L270" s="4">
        <v>13</v>
      </c>
      <c r="M270" s="4">
        <v>1</v>
      </c>
      <c r="N270" s="4" t="s">
        <v>6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671.18000000000006</v>
      </c>
      <c r="X270" s="4">
        <v>1</v>
      </c>
      <c r="Y270" s="4">
        <v>671.18000000000006</v>
      </c>
      <c r="Z270" s="4"/>
      <c r="AA270" s="4"/>
      <c r="AB270" s="4"/>
    </row>
    <row r="271" spans="1:28">
      <c r="A271" s="4">
        <v>50</v>
      </c>
      <c r="B271" s="4">
        <v>1</v>
      </c>
      <c r="C271" s="4">
        <v>0</v>
      </c>
      <c r="D271" s="4">
        <v>1</v>
      </c>
      <c r="E271" s="4">
        <v>205</v>
      </c>
      <c r="F271" s="4">
        <f>ROUND(Source!S256,O271)</f>
        <v>36338.06</v>
      </c>
      <c r="G271" s="4" t="s">
        <v>73</v>
      </c>
      <c r="H271" s="4" t="s">
        <v>74</v>
      </c>
      <c r="I271" s="4"/>
      <c r="J271" s="4"/>
      <c r="K271" s="4">
        <v>205</v>
      </c>
      <c r="L271" s="4">
        <v>14</v>
      </c>
      <c r="M271" s="4">
        <v>1</v>
      </c>
      <c r="N271" s="4" t="s">
        <v>6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36338.06</v>
      </c>
      <c r="X271" s="4">
        <v>1</v>
      </c>
      <c r="Y271" s="4">
        <v>36338.06</v>
      </c>
      <c r="Z271" s="4"/>
      <c r="AA271" s="4"/>
      <c r="AB271" s="4"/>
    </row>
    <row r="272" spans="1:28">
      <c r="A272" s="4">
        <v>50</v>
      </c>
      <c r="B272" s="4">
        <v>0</v>
      </c>
      <c r="C272" s="4">
        <v>0</v>
      </c>
      <c r="D272" s="4">
        <v>1</v>
      </c>
      <c r="E272" s="4">
        <v>232</v>
      </c>
      <c r="F272" s="4">
        <f>ROUND(Source!BC256,O272)</f>
        <v>0</v>
      </c>
      <c r="G272" s="4" t="s">
        <v>75</v>
      </c>
      <c r="H272" s="4" t="s">
        <v>76</v>
      </c>
      <c r="I272" s="4"/>
      <c r="J272" s="4"/>
      <c r="K272" s="4">
        <v>232</v>
      </c>
      <c r="L272" s="4">
        <v>15</v>
      </c>
      <c r="M272" s="4">
        <v>3</v>
      </c>
      <c r="N272" s="4" t="s">
        <v>6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>
      <c r="A273" s="4">
        <v>50</v>
      </c>
      <c r="B273" s="4">
        <v>0</v>
      </c>
      <c r="C273" s="4">
        <v>0</v>
      </c>
      <c r="D273" s="4">
        <v>1</v>
      </c>
      <c r="E273" s="4">
        <v>214</v>
      </c>
      <c r="F273" s="4">
        <f>ROUND(Source!AS256,O273)</f>
        <v>0</v>
      </c>
      <c r="G273" s="4" t="s">
        <v>77</v>
      </c>
      <c r="H273" s="4" t="s">
        <v>78</v>
      </c>
      <c r="I273" s="4"/>
      <c r="J273" s="4"/>
      <c r="K273" s="4">
        <v>214</v>
      </c>
      <c r="L273" s="4">
        <v>16</v>
      </c>
      <c r="M273" s="4">
        <v>3</v>
      </c>
      <c r="N273" s="4" t="s">
        <v>6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>
      <c r="A274" s="4">
        <v>50</v>
      </c>
      <c r="B274" s="4">
        <v>0</v>
      </c>
      <c r="C274" s="4">
        <v>0</v>
      </c>
      <c r="D274" s="4">
        <v>1</v>
      </c>
      <c r="E274" s="4">
        <v>215</v>
      </c>
      <c r="F274" s="4">
        <f>ROUND(Source!AT256,O274)</f>
        <v>103936.59</v>
      </c>
      <c r="G274" s="4" t="s">
        <v>79</v>
      </c>
      <c r="H274" s="4" t="s">
        <v>80</v>
      </c>
      <c r="I274" s="4"/>
      <c r="J274" s="4"/>
      <c r="K274" s="4">
        <v>215</v>
      </c>
      <c r="L274" s="4">
        <v>17</v>
      </c>
      <c r="M274" s="4">
        <v>3</v>
      </c>
      <c r="N274" s="4" t="s">
        <v>6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103936.59</v>
      </c>
      <c r="X274" s="4">
        <v>1</v>
      </c>
      <c r="Y274" s="4">
        <v>103936.59</v>
      </c>
      <c r="Z274" s="4"/>
      <c r="AA274" s="4"/>
      <c r="AB274" s="4"/>
    </row>
    <row r="275" spans="1:28">
      <c r="A275" s="4">
        <v>50</v>
      </c>
      <c r="B275" s="4">
        <v>0</v>
      </c>
      <c r="C275" s="4">
        <v>0</v>
      </c>
      <c r="D275" s="4">
        <v>1</v>
      </c>
      <c r="E275" s="4">
        <v>217</v>
      </c>
      <c r="F275" s="4">
        <f>ROUND(Source!AU256,O275)</f>
        <v>726.76</v>
      </c>
      <c r="G275" s="4" t="s">
        <v>81</v>
      </c>
      <c r="H275" s="4" t="s">
        <v>82</v>
      </c>
      <c r="I275" s="4"/>
      <c r="J275" s="4"/>
      <c r="K275" s="4">
        <v>217</v>
      </c>
      <c r="L275" s="4">
        <v>18</v>
      </c>
      <c r="M275" s="4">
        <v>3</v>
      </c>
      <c r="N275" s="4" t="s">
        <v>6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726.76</v>
      </c>
      <c r="X275" s="4">
        <v>1</v>
      </c>
      <c r="Y275" s="4">
        <v>726.76</v>
      </c>
      <c r="Z275" s="4"/>
      <c r="AA275" s="4"/>
      <c r="AB275" s="4"/>
    </row>
    <row r="276" spans="1:28">
      <c r="A276" s="4">
        <v>50</v>
      </c>
      <c r="B276" s="4">
        <v>0</v>
      </c>
      <c r="C276" s="4">
        <v>0</v>
      </c>
      <c r="D276" s="4">
        <v>1</v>
      </c>
      <c r="E276" s="4">
        <v>230</v>
      </c>
      <c r="F276" s="4">
        <f>ROUND(Source!BA256,O276)</f>
        <v>0</v>
      </c>
      <c r="G276" s="4" t="s">
        <v>83</v>
      </c>
      <c r="H276" s="4" t="s">
        <v>84</v>
      </c>
      <c r="I276" s="4"/>
      <c r="J276" s="4"/>
      <c r="K276" s="4">
        <v>230</v>
      </c>
      <c r="L276" s="4">
        <v>19</v>
      </c>
      <c r="M276" s="4">
        <v>3</v>
      </c>
      <c r="N276" s="4" t="s">
        <v>6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>
      <c r="A277" s="4">
        <v>50</v>
      </c>
      <c r="B277" s="4">
        <v>0</v>
      </c>
      <c r="C277" s="4">
        <v>0</v>
      </c>
      <c r="D277" s="4">
        <v>1</v>
      </c>
      <c r="E277" s="4">
        <v>206</v>
      </c>
      <c r="F277" s="4">
        <f>ROUND(Source!T256,O277)</f>
        <v>0</v>
      </c>
      <c r="G277" s="4" t="s">
        <v>85</v>
      </c>
      <c r="H277" s="4" t="s">
        <v>86</v>
      </c>
      <c r="I277" s="4"/>
      <c r="J277" s="4"/>
      <c r="K277" s="4">
        <v>206</v>
      </c>
      <c r="L277" s="4">
        <v>20</v>
      </c>
      <c r="M277" s="4">
        <v>3</v>
      </c>
      <c r="N277" s="4" t="s">
        <v>6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>
      <c r="A278" s="4">
        <v>50</v>
      </c>
      <c r="B278" s="4">
        <v>0</v>
      </c>
      <c r="C278" s="4">
        <v>0</v>
      </c>
      <c r="D278" s="4">
        <v>1</v>
      </c>
      <c r="E278" s="4">
        <v>207</v>
      </c>
      <c r="F278" s="4">
        <f>Source!U256</f>
        <v>103.598</v>
      </c>
      <c r="G278" s="4" t="s">
        <v>87</v>
      </c>
      <c r="H278" s="4" t="s">
        <v>88</v>
      </c>
      <c r="I278" s="4"/>
      <c r="J278" s="4"/>
      <c r="K278" s="4">
        <v>207</v>
      </c>
      <c r="L278" s="4">
        <v>21</v>
      </c>
      <c r="M278" s="4">
        <v>3</v>
      </c>
      <c r="N278" s="4" t="s">
        <v>6</v>
      </c>
      <c r="O278" s="4">
        <v>-1</v>
      </c>
      <c r="P278" s="4"/>
      <c r="Q278" s="4"/>
      <c r="R278" s="4"/>
      <c r="S278" s="4"/>
      <c r="T278" s="4"/>
      <c r="U278" s="4"/>
      <c r="V278" s="4"/>
      <c r="W278" s="4">
        <v>103.598</v>
      </c>
      <c r="X278" s="4">
        <v>1</v>
      </c>
      <c r="Y278" s="4">
        <v>103.598</v>
      </c>
      <c r="Z278" s="4"/>
      <c r="AA278" s="4"/>
      <c r="AB278" s="4"/>
    </row>
    <row r="279" spans="1:28">
      <c r="A279" s="4">
        <v>50</v>
      </c>
      <c r="B279" s="4">
        <v>0</v>
      </c>
      <c r="C279" s="4">
        <v>0</v>
      </c>
      <c r="D279" s="4">
        <v>1</v>
      </c>
      <c r="E279" s="4">
        <v>208</v>
      </c>
      <c r="F279" s="4">
        <f>Source!V256</f>
        <v>8.9239999999999995</v>
      </c>
      <c r="G279" s="4" t="s">
        <v>89</v>
      </c>
      <c r="H279" s="4" t="s">
        <v>90</v>
      </c>
      <c r="I279" s="4"/>
      <c r="J279" s="4"/>
      <c r="K279" s="4">
        <v>208</v>
      </c>
      <c r="L279" s="4">
        <v>22</v>
      </c>
      <c r="M279" s="4">
        <v>3</v>
      </c>
      <c r="N279" s="4" t="s">
        <v>6</v>
      </c>
      <c r="O279" s="4">
        <v>-1</v>
      </c>
      <c r="P279" s="4"/>
      <c r="Q279" s="4"/>
      <c r="R279" s="4"/>
      <c r="S279" s="4"/>
      <c r="T279" s="4"/>
      <c r="U279" s="4"/>
      <c r="V279" s="4"/>
      <c r="W279" s="4">
        <v>1.948</v>
      </c>
      <c r="X279" s="4">
        <v>1</v>
      </c>
      <c r="Y279" s="4">
        <v>1.948</v>
      </c>
      <c r="Z279" s="4"/>
      <c r="AA279" s="4"/>
      <c r="AB279" s="4"/>
    </row>
    <row r="280" spans="1:28">
      <c r="A280" s="4">
        <v>50</v>
      </c>
      <c r="B280" s="4">
        <v>0</v>
      </c>
      <c r="C280" s="4">
        <v>0</v>
      </c>
      <c r="D280" s="4">
        <v>1</v>
      </c>
      <c r="E280" s="4">
        <v>209</v>
      </c>
      <c r="F280" s="4">
        <f>ROUND(Source!W256,O280)</f>
        <v>0</v>
      </c>
      <c r="G280" s="4" t="s">
        <v>91</v>
      </c>
      <c r="H280" s="4" t="s">
        <v>92</v>
      </c>
      <c r="I280" s="4"/>
      <c r="J280" s="4"/>
      <c r="K280" s="4">
        <v>209</v>
      </c>
      <c r="L280" s="4">
        <v>23</v>
      </c>
      <c r="M280" s="4">
        <v>3</v>
      </c>
      <c r="N280" s="4" t="s">
        <v>6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>
      <c r="A281" s="4">
        <v>50</v>
      </c>
      <c r="B281" s="4">
        <v>0</v>
      </c>
      <c r="C281" s="4">
        <v>0</v>
      </c>
      <c r="D281" s="4">
        <v>1</v>
      </c>
      <c r="E281" s="4">
        <v>233</v>
      </c>
      <c r="F281" s="4">
        <f>ROUND(Source!BD256,O281)</f>
        <v>0</v>
      </c>
      <c r="G281" s="4" t="s">
        <v>93</v>
      </c>
      <c r="H281" s="4" t="s">
        <v>94</v>
      </c>
      <c r="I281" s="4"/>
      <c r="J281" s="4"/>
      <c r="K281" s="4">
        <v>233</v>
      </c>
      <c r="L281" s="4">
        <v>24</v>
      </c>
      <c r="M281" s="4">
        <v>3</v>
      </c>
      <c r="N281" s="4" t="s">
        <v>6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>
      <c r="A282" s="4">
        <v>50</v>
      </c>
      <c r="B282" s="4">
        <v>1</v>
      </c>
      <c r="C282" s="4">
        <v>0</v>
      </c>
      <c r="D282" s="4">
        <v>1</v>
      </c>
      <c r="E282" s="4">
        <v>210</v>
      </c>
      <c r="F282" s="4">
        <f>ROUND(Source!X256,O282)</f>
        <v>34857.72</v>
      </c>
      <c r="G282" s="4" t="s">
        <v>95</v>
      </c>
      <c r="H282" s="4" t="s">
        <v>96</v>
      </c>
      <c r="I282" s="4"/>
      <c r="J282" s="4"/>
      <c r="K282" s="4">
        <v>210</v>
      </c>
      <c r="L282" s="4">
        <v>25</v>
      </c>
      <c r="M282" s="4">
        <v>1</v>
      </c>
      <c r="N282" s="4" t="s">
        <v>6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34857.72</v>
      </c>
      <c r="X282" s="4">
        <v>1</v>
      </c>
      <c r="Y282" s="4">
        <v>34857.72</v>
      </c>
      <c r="Z282" s="4"/>
      <c r="AA282" s="4"/>
      <c r="AB282" s="4"/>
    </row>
    <row r="283" spans="1:28">
      <c r="A283" s="4">
        <v>50</v>
      </c>
      <c r="B283" s="4">
        <v>1</v>
      </c>
      <c r="C283" s="4">
        <v>0</v>
      </c>
      <c r="D283" s="4">
        <v>1</v>
      </c>
      <c r="E283" s="4">
        <v>211</v>
      </c>
      <c r="F283" s="4">
        <f>ROUND(Source!Y256,O283)</f>
        <v>18130.96</v>
      </c>
      <c r="G283" s="4" t="s">
        <v>97</v>
      </c>
      <c r="H283" s="4" t="s">
        <v>98</v>
      </c>
      <c r="I283" s="4"/>
      <c r="J283" s="4"/>
      <c r="K283" s="4">
        <v>211</v>
      </c>
      <c r="L283" s="4">
        <v>26</v>
      </c>
      <c r="M283" s="4">
        <v>1</v>
      </c>
      <c r="N283" s="4" t="s">
        <v>6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18130.96</v>
      </c>
      <c r="X283" s="4">
        <v>1</v>
      </c>
      <c r="Y283" s="4">
        <v>18130.96</v>
      </c>
      <c r="Z283" s="4"/>
      <c r="AA283" s="4"/>
      <c r="AB283" s="4"/>
    </row>
    <row r="284" spans="1:28">
      <c r="A284" s="4">
        <v>50</v>
      </c>
      <c r="B284" s="4">
        <v>1</v>
      </c>
      <c r="C284" s="4">
        <v>0</v>
      </c>
      <c r="D284" s="4">
        <v>1</v>
      </c>
      <c r="E284" s="4">
        <v>224</v>
      </c>
      <c r="F284" s="4">
        <f>ROUND(Source!AR256,O284)</f>
        <v>104663.35</v>
      </c>
      <c r="G284" s="4" t="s">
        <v>99</v>
      </c>
      <c r="H284" s="4" t="s">
        <v>100</v>
      </c>
      <c r="I284" s="4"/>
      <c r="J284" s="4"/>
      <c r="K284" s="4">
        <v>224</v>
      </c>
      <c r="L284" s="4">
        <v>27</v>
      </c>
      <c r="M284" s="4">
        <v>1</v>
      </c>
      <c r="N284" s="4" t="s">
        <v>6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104663.35</v>
      </c>
      <c r="X284" s="4">
        <v>1</v>
      </c>
      <c r="Y284" s="4">
        <v>104663.35</v>
      </c>
      <c r="Z284" s="4"/>
      <c r="AA284" s="4"/>
      <c r="AB284" s="4"/>
    </row>
    <row r="285" spans="1:28">
      <c r="A285" s="4">
        <v>50</v>
      </c>
      <c r="B285" s="4">
        <v>0</v>
      </c>
      <c r="C285" s="4">
        <v>0</v>
      </c>
      <c r="D285" s="4">
        <v>2</v>
      </c>
      <c r="E285" s="4">
        <v>0</v>
      </c>
      <c r="F285" s="4">
        <f>0</f>
        <v>0</v>
      </c>
      <c r="G285" s="4" t="s">
        <v>101</v>
      </c>
      <c r="H285" s="4" t="s">
        <v>102</v>
      </c>
      <c r="I285" s="4"/>
      <c r="J285" s="4"/>
      <c r="K285" s="4">
        <v>212</v>
      </c>
      <c r="L285" s="4">
        <v>28</v>
      </c>
      <c r="M285" s="4">
        <v>1</v>
      </c>
      <c r="N285" s="4" t="s">
        <v>6</v>
      </c>
      <c r="O285" s="4">
        <v>-1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>
      <c r="A286" s="4">
        <v>50</v>
      </c>
      <c r="B286" s="4">
        <v>0</v>
      </c>
      <c r="C286" s="4">
        <v>0</v>
      </c>
      <c r="D286" s="4">
        <v>2</v>
      </c>
      <c r="E286" s="4">
        <v>0</v>
      </c>
      <c r="F286" s="4">
        <f>ROUND(IF(F285=0,0,F284/100*F285),O286)</f>
        <v>0</v>
      </c>
      <c r="G286" s="4" t="s">
        <v>103</v>
      </c>
      <c r="H286" s="4" t="s">
        <v>104</v>
      </c>
      <c r="I286" s="4"/>
      <c r="J286" s="4"/>
      <c r="K286" s="4">
        <v>212</v>
      </c>
      <c r="L286" s="4">
        <v>29</v>
      </c>
      <c r="M286" s="4">
        <v>1</v>
      </c>
      <c r="N286" s="4" t="s">
        <v>6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>
      <c r="A287" s="4">
        <v>50</v>
      </c>
      <c r="B287" s="4">
        <v>0</v>
      </c>
      <c r="C287" s="4">
        <v>0</v>
      </c>
      <c r="D287" s="4">
        <v>2</v>
      </c>
      <c r="E287" s="4">
        <v>0</v>
      </c>
      <c r="F287" s="4">
        <f>ROUND(IF(F285=0,0,F284+F286),O287)</f>
        <v>0</v>
      </c>
      <c r="G287" s="4" t="s">
        <v>105</v>
      </c>
      <c r="H287" s="4" t="s">
        <v>106</v>
      </c>
      <c r="I287" s="4"/>
      <c r="J287" s="4"/>
      <c r="K287" s="4">
        <v>212</v>
      </c>
      <c r="L287" s="4">
        <v>30</v>
      </c>
      <c r="M287" s="4">
        <v>1</v>
      </c>
      <c r="N287" s="4" t="s">
        <v>6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>
      <c r="A288" s="4">
        <v>50</v>
      </c>
      <c r="B288" s="4">
        <v>0</v>
      </c>
      <c r="C288" s="4">
        <v>0</v>
      </c>
      <c r="D288" s="4">
        <v>2</v>
      </c>
      <c r="E288" s="4">
        <v>0</v>
      </c>
      <c r="F288" s="4">
        <f>0</f>
        <v>0</v>
      </c>
      <c r="G288" s="4" t="s">
        <v>107</v>
      </c>
      <c r="H288" s="4" t="s">
        <v>108</v>
      </c>
      <c r="I288" s="4"/>
      <c r="J288" s="4"/>
      <c r="K288" s="4">
        <v>212</v>
      </c>
      <c r="L288" s="4">
        <v>31</v>
      </c>
      <c r="M288" s="4">
        <v>1</v>
      </c>
      <c r="N288" s="4" t="s">
        <v>6</v>
      </c>
      <c r="O288" s="4">
        <v>-1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>
      <c r="A289" s="4">
        <v>50</v>
      </c>
      <c r="B289" s="4">
        <v>0</v>
      </c>
      <c r="C289" s="4">
        <v>0</v>
      </c>
      <c r="D289" s="4">
        <v>2</v>
      </c>
      <c r="E289" s="4">
        <v>0</v>
      </c>
      <c r="F289" s="4">
        <f>ROUND(IF(F288=0,0,(F284+F286)/100*F288),O289)</f>
        <v>0</v>
      </c>
      <c r="G289" s="4" t="s">
        <v>109</v>
      </c>
      <c r="H289" s="4" t="s">
        <v>110</v>
      </c>
      <c r="I289" s="4"/>
      <c r="J289" s="4"/>
      <c r="K289" s="4">
        <v>212</v>
      </c>
      <c r="L289" s="4">
        <v>32</v>
      </c>
      <c r="M289" s="4">
        <v>1</v>
      </c>
      <c r="N289" s="4" t="s">
        <v>6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45">
      <c r="A290" s="4">
        <v>50</v>
      </c>
      <c r="B290" s="4">
        <v>0</v>
      </c>
      <c r="C290" s="4">
        <v>0</v>
      </c>
      <c r="D290" s="4">
        <v>2</v>
      </c>
      <c r="E290" s="4">
        <v>0</v>
      </c>
      <c r="F290" s="4">
        <f>ROUND(IF(F289=0,0,F284+F286+F289),O290)</f>
        <v>0</v>
      </c>
      <c r="G290" s="4" t="s">
        <v>111</v>
      </c>
      <c r="H290" s="4" t="s">
        <v>112</v>
      </c>
      <c r="I290" s="4"/>
      <c r="J290" s="4"/>
      <c r="K290" s="4">
        <v>212</v>
      </c>
      <c r="L290" s="4">
        <v>33</v>
      </c>
      <c r="M290" s="4">
        <v>1</v>
      </c>
      <c r="N290" s="4" t="s">
        <v>6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45">
      <c r="A291" s="4">
        <v>50</v>
      </c>
      <c r="B291" s="4">
        <v>0</v>
      </c>
      <c r="C291" s="4">
        <v>0</v>
      </c>
      <c r="D291" s="4">
        <v>2</v>
      </c>
      <c r="E291" s="4">
        <v>0</v>
      </c>
      <c r="F291" s="4">
        <f>0</f>
        <v>0</v>
      </c>
      <c r="G291" s="4" t="s">
        <v>113</v>
      </c>
      <c r="H291" s="4" t="s">
        <v>114</v>
      </c>
      <c r="I291" s="4"/>
      <c r="J291" s="4"/>
      <c r="K291" s="4">
        <v>212</v>
      </c>
      <c r="L291" s="4">
        <v>34</v>
      </c>
      <c r="M291" s="4">
        <v>1</v>
      </c>
      <c r="N291" s="4" t="s">
        <v>6</v>
      </c>
      <c r="O291" s="4">
        <v>-1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45">
      <c r="A292" s="4">
        <v>50</v>
      </c>
      <c r="B292" s="4">
        <v>0</v>
      </c>
      <c r="C292" s="4">
        <v>0</v>
      </c>
      <c r="D292" s="4">
        <v>2</v>
      </c>
      <c r="E292" s="4">
        <v>0</v>
      </c>
      <c r="F292" s="4">
        <f>ROUND(IF(F291=0,0,(F284+F286+F289)/100*F291),O292)</f>
        <v>0</v>
      </c>
      <c r="G292" s="4" t="s">
        <v>115</v>
      </c>
      <c r="H292" s="4" t="s">
        <v>116</v>
      </c>
      <c r="I292" s="4"/>
      <c r="J292" s="4"/>
      <c r="K292" s="4">
        <v>212</v>
      </c>
      <c r="L292" s="4">
        <v>35</v>
      </c>
      <c r="M292" s="4">
        <v>1</v>
      </c>
      <c r="N292" s="4" t="s">
        <v>6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45">
      <c r="A293" s="4">
        <v>50</v>
      </c>
      <c r="B293" s="4">
        <v>0</v>
      </c>
      <c r="C293" s="4">
        <v>0</v>
      </c>
      <c r="D293" s="4">
        <v>2</v>
      </c>
      <c r="E293" s="4">
        <v>0</v>
      </c>
      <c r="F293" s="4">
        <f>ROUND(IF(F292=0,0,F284+F286+F289+F292),O293)</f>
        <v>0</v>
      </c>
      <c r="G293" s="4" t="s">
        <v>117</v>
      </c>
      <c r="H293" s="4" t="s">
        <v>118</v>
      </c>
      <c r="I293" s="4"/>
      <c r="J293" s="4"/>
      <c r="K293" s="4">
        <v>212</v>
      </c>
      <c r="L293" s="4">
        <v>36</v>
      </c>
      <c r="M293" s="4">
        <v>1</v>
      </c>
      <c r="N293" s="4" t="s">
        <v>6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45">
      <c r="A294" s="4">
        <v>50</v>
      </c>
      <c r="B294" s="4">
        <v>0</v>
      </c>
      <c r="C294" s="4">
        <v>0</v>
      </c>
      <c r="D294" s="4">
        <v>2</v>
      </c>
      <c r="E294" s="4">
        <v>0</v>
      </c>
      <c r="F294" s="4">
        <f>ROUND(ROUND(F284+F286+F289+F292,2),O294)</f>
        <v>104663.35</v>
      </c>
      <c r="G294" s="4" t="s">
        <v>119</v>
      </c>
      <c r="H294" s="4" t="s">
        <v>120</v>
      </c>
      <c r="I294" s="4"/>
      <c r="J294" s="4"/>
      <c r="K294" s="4">
        <v>212</v>
      </c>
      <c r="L294" s="4">
        <v>37</v>
      </c>
      <c r="M294" s="4">
        <v>3</v>
      </c>
      <c r="N294" s="4" t="s">
        <v>6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104663.35</v>
      </c>
      <c r="X294" s="4">
        <v>1</v>
      </c>
      <c r="Y294" s="4">
        <v>104663.35</v>
      </c>
      <c r="Z294" s="4"/>
      <c r="AA294" s="4"/>
      <c r="AB294" s="4"/>
    </row>
    <row r="295" spans="1:245">
      <c r="A295" s="4">
        <v>50</v>
      </c>
      <c r="B295" s="4">
        <v>1</v>
      </c>
      <c r="C295" s="4">
        <v>0</v>
      </c>
      <c r="D295" s="4">
        <v>2</v>
      </c>
      <c r="E295" s="4">
        <v>0</v>
      </c>
      <c r="F295" s="4">
        <f>ROUND(ROUND(F294*0.2,2),O295)</f>
        <v>20932.669999999998</v>
      </c>
      <c r="G295" s="4" t="s">
        <v>121</v>
      </c>
      <c r="H295" s="4" t="s">
        <v>122</v>
      </c>
      <c r="I295" s="4"/>
      <c r="J295" s="4"/>
      <c r="K295" s="4">
        <v>212</v>
      </c>
      <c r="L295" s="4">
        <v>38</v>
      </c>
      <c r="M295" s="4">
        <v>1</v>
      </c>
      <c r="N295" s="4" t="s">
        <v>6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20932.669999999998</v>
      </c>
      <c r="X295" s="4">
        <v>1</v>
      </c>
      <c r="Y295" s="4">
        <v>20932.669999999998</v>
      </c>
      <c r="Z295" s="4"/>
      <c r="AA295" s="4"/>
      <c r="AB295" s="4"/>
    </row>
    <row r="296" spans="1:245">
      <c r="A296" s="4">
        <v>50</v>
      </c>
      <c r="B296" s="4">
        <v>1</v>
      </c>
      <c r="C296" s="4">
        <v>0</v>
      </c>
      <c r="D296" s="4">
        <v>2</v>
      </c>
      <c r="E296" s="4">
        <v>213</v>
      </c>
      <c r="F296" s="4">
        <f>ROUND(ROUND(F294+F295,2),O296)</f>
        <v>125596.02</v>
      </c>
      <c r="G296" s="4" t="s">
        <v>123</v>
      </c>
      <c r="H296" s="4" t="s">
        <v>124</v>
      </c>
      <c r="I296" s="4"/>
      <c r="J296" s="4"/>
      <c r="K296" s="4">
        <v>212</v>
      </c>
      <c r="L296" s="4">
        <v>39</v>
      </c>
      <c r="M296" s="4">
        <v>1</v>
      </c>
      <c r="N296" s="4" t="s">
        <v>6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125596.02</v>
      </c>
      <c r="X296" s="4">
        <v>1</v>
      </c>
      <c r="Y296" s="4">
        <v>125596.02</v>
      </c>
      <c r="Z296" s="4"/>
      <c r="AA296" s="4"/>
      <c r="AB296" s="4"/>
    </row>
    <row r="298" spans="1:245">
      <c r="A298" s="1">
        <v>4</v>
      </c>
      <c r="B298" s="1">
        <v>1</v>
      </c>
      <c r="C298" s="1"/>
      <c r="D298" s="1">
        <f>ROW(A312)</f>
        <v>312</v>
      </c>
      <c r="E298" s="1"/>
      <c r="F298" s="1" t="s">
        <v>15</v>
      </c>
      <c r="G298" s="1" t="s">
        <v>125</v>
      </c>
      <c r="H298" s="1" t="s">
        <v>6</v>
      </c>
      <c r="I298" s="1">
        <v>0</v>
      </c>
      <c r="J298" s="1"/>
      <c r="K298" s="1">
        <v>0</v>
      </c>
      <c r="L298" s="1"/>
      <c r="M298" s="1" t="s">
        <v>6</v>
      </c>
      <c r="N298" s="1"/>
      <c r="O298" s="1"/>
      <c r="P298" s="1"/>
      <c r="Q298" s="1"/>
      <c r="R298" s="1"/>
      <c r="S298" s="1">
        <v>0</v>
      </c>
      <c r="T298" s="1"/>
      <c r="U298" s="1" t="s">
        <v>6</v>
      </c>
      <c r="V298" s="1">
        <v>0</v>
      </c>
      <c r="W298" s="1"/>
      <c r="X298" s="1"/>
      <c r="Y298" s="1"/>
      <c r="Z298" s="1"/>
      <c r="AA298" s="1"/>
      <c r="AB298" s="1" t="s">
        <v>6</v>
      </c>
      <c r="AC298" s="1" t="s">
        <v>6</v>
      </c>
      <c r="AD298" s="1" t="s">
        <v>6</v>
      </c>
      <c r="AE298" s="1" t="s">
        <v>6</v>
      </c>
      <c r="AF298" s="1" t="s">
        <v>6</v>
      </c>
      <c r="AG298" s="1" t="s">
        <v>6</v>
      </c>
      <c r="AH298" s="1"/>
      <c r="AI298" s="1"/>
      <c r="AJ298" s="1"/>
      <c r="AK298" s="1"/>
      <c r="AL298" s="1"/>
      <c r="AM298" s="1"/>
      <c r="AN298" s="1"/>
      <c r="AO298" s="1"/>
      <c r="AP298" s="1" t="s">
        <v>6</v>
      </c>
      <c r="AQ298" s="1" t="s">
        <v>6</v>
      </c>
      <c r="AR298" s="1" t="s">
        <v>6</v>
      </c>
      <c r="AS298" s="1"/>
      <c r="AT298" s="1"/>
      <c r="AU298" s="1"/>
      <c r="AV298" s="1"/>
      <c r="AW298" s="1"/>
      <c r="AX298" s="1"/>
      <c r="AY298" s="1"/>
      <c r="AZ298" s="1" t="s">
        <v>6</v>
      </c>
      <c r="BA298" s="1"/>
      <c r="BB298" s="1" t="s">
        <v>6</v>
      </c>
      <c r="BC298" s="1" t="s">
        <v>6</v>
      </c>
      <c r="BD298" s="1" t="s">
        <v>6</v>
      </c>
      <c r="BE298" s="1" t="s">
        <v>6</v>
      </c>
      <c r="BF298" s="1" t="s">
        <v>6</v>
      </c>
      <c r="BG298" s="1" t="s">
        <v>6</v>
      </c>
      <c r="BH298" s="1" t="s">
        <v>6</v>
      </c>
      <c r="BI298" s="1" t="s">
        <v>6</v>
      </c>
      <c r="BJ298" s="1" t="s">
        <v>6</v>
      </c>
      <c r="BK298" s="1" t="s">
        <v>6</v>
      </c>
      <c r="BL298" s="1" t="s">
        <v>6</v>
      </c>
      <c r="BM298" s="1" t="s">
        <v>6</v>
      </c>
      <c r="BN298" s="1" t="s">
        <v>6</v>
      </c>
      <c r="BO298" s="1" t="s">
        <v>6</v>
      </c>
      <c r="BP298" s="1" t="s">
        <v>6</v>
      </c>
      <c r="BQ298" s="1"/>
      <c r="BR298" s="1"/>
      <c r="BS298" s="1"/>
      <c r="BT298" s="1"/>
      <c r="BU298" s="1"/>
      <c r="BV298" s="1"/>
      <c r="BW298" s="1"/>
      <c r="BX298" s="1">
        <v>0</v>
      </c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>
        <v>0</v>
      </c>
    </row>
    <row r="300" spans="1:245">
      <c r="A300" s="2">
        <v>52</v>
      </c>
      <c r="B300" s="2">
        <f t="shared" ref="B300:G300" si="127">B312</f>
        <v>1</v>
      </c>
      <c r="C300" s="2">
        <f t="shared" si="127"/>
        <v>4</v>
      </c>
      <c r="D300" s="2">
        <f t="shared" si="127"/>
        <v>298</v>
      </c>
      <c r="E300" s="2">
        <f t="shared" si="127"/>
        <v>0</v>
      </c>
      <c r="F300" s="2" t="str">
        <f t="shared" si="127"/>
        <v>Новый раздел</v>
      </c>
      <c r="G300" s="2" t="str">
        <f t="shared" si="127"/>
        <v>Материалы, не учтенные ценником</v>
      </c>
      <c r="H300" s="2"/>
      <c r="I300" s="2"/>
      <c r="J300" s="2"/>
      <c r="K300" s="2"/>
      <c r="L300" s="2"/>
      <c r="M300" s="2"/>
      <c r="N300" s="2"/>
      <c r="O300" s="2">
        <f t="shared" ref="O300:AT300" si="128">O312</f>
        <v>192126.6</v>
      </c>
      <c r="P300" s="2">
        <f t="shared" si="128"/>
        <v>192126.6</v>
      </c>
      <c r="Q300" s="2">
        <f t="shared" si="128"/>
        <v>0</v>
      </c>
      <c r="R300" s="2">
        <f t="shared" si="128"/>
        <v>0</v>
      </c>
      <c r="S300" s="2">
        <f t="shared" si="128"/>
        <v>0</v>
      </c>
      <c r="T300" s="2">
        <f t="shared" si="128"/>
        <v>0</v>
      </c>
      <c r="U300" s="2">
        <f t="shared" si="128"/>
        <v>0</v>
      </c>
      <c r="V300" s="2">
        <f t="shared" si="128"/>
        <v>0</v>
      </c>
      <c r="W300" s="2">
        <f t="shared" si="128"/>
        <v>0</v>
      </c>
      <c r="X300" s="2">
        <f t="shared" si="128"/>
        <v>0</v>
      </c>
      <c r="Y300" s="2">
        <f t="shared" si="128"/>
        <v>0</v>
      </c>
      <c r="Z300" s="2">
        <f t="shared" si="128"/>
        <v>0</v>
      </c>
      <c r="AA300" s="2">
        <f t="shared" si="128"/>
        <v>0</v>
      </c>
      <c r="AB300" s="2">
        <f t="shared" si="128"/>
        <v>192126.6</v>
      </c>
      <c r="AC300" s="2">
        <f t="shared" si="128"/>
        <v>192126.6</v>
      </c>
      <c r="AD300" s="2">
        <f t="shared" si="128"/>
        <v>0</v>
      </c>
      <c r="AE300" s="2">
        <f t="shared" si="128"/>
        <v>0</v>
      </c>
      <c r="AF300" s="2">
        <f t="shared" si="128"/>
        <v>0</v>
      </c>
      <c r="AG300" s="2">
        <f t="shared" si="128"/>
        <v>0</v>
      </c>
      <c r="AH300" s="2">
        <f t="shared" si="128"/>
        <v>0</v>
      </c>
      <c r="AI300" s="2">
        <f t="shared" si="128"/>
        <v>0</v>
      </c>
      <c r="AJ300" s="2">
        <f t="shared" si="128"/>
        <v>0</v>
      </c>
      <c r="AK300" s="2">
        <f t="shared" si="128"/>
        <v>0</v>
      </c>
      <c r="AL300" s="2">
        <f t="shared" si="128"/>
        <v>0</v>
      </c>
      <c r="AM300" s="2">
        <f t="shared" si="128"/>
        <v>0</v>
      </c>
      <c r="AN300" s="2">
        <f t="shared" si="128"/>
        <v>0</v>
      </c>
      <c r="AO300" s="2">
        <f t="shared" si="128"/>
        <v>0</v>
      </c>
      <c r="AP300" s="2">
        <f t="shared" si="128"/>
        <v>0</v>
      </c>
      <c r="AQ300" s="2">
        <f t="shared" si="128"/>
        <v>0</v>
      </c>
      <c r="AR300" s="2">
        <f t="shared" si="128"/>
        <v>192126.6</v>
      </c>
      <c r="AS300" s="2">
        <f t="shared" si="128"/>
        <v>192126.6</v>
      </c>
      <c r="AT300" s="2">
        <f t="shared" si="128"/>
        <v>0</v>
      </c>
      <c r="AU300" s="2">
        <f t="shared" ref="AU300:BZ300" si="129">AU312</f>
        <v>0</v>
      </c>
      <c r="AV300" s="2">
        <f t="shared" si="129"/>
        <v>192126.6</v>
      </c>
      <c r="AW300" s="2">
        <f t="shared" si="129"/>
        <v>192126.6</v>
      </c>
      <c r="AX300" s="2">
        <f t="shared" si="129"/>
        <v>0</v>
      </c>
      <c r="AY300" s="2">
        <f t="shared" si="129"/>
        <v>192126.6</v>
      </c>
      <c r="AZ300" s="2">
        <f t="shared" si="129"/>
        <v>0</v>
      </c>
      <c r="BA300" s="2">
        <f t="shared" si="129"/>
        <v>0</v>
      </c>
      <c r="BB300" s="2">
        <f t="shared" si="129"/>
        <v>0</v>
      </c>
      <c r="BC300" s="2">
        <f t="shared" si="129"/>
        <v>0</v>
      </c>
      <c r="BD300" s="2">
        <f t="shared" si="129"/>
        <v>0</v>
      </c>
      <c r="BE300" s="2">
        <f t="shared" si="129"/>
        <v>0</v>
      </c>
      <c r="BF300" s="2">
        <f t="shared" si="129"/>
        <v>0</v>
      </c>
      <c r="BG300" s="2">
        <f t="shared" si="129"/>
        <v>0</v>
      </c>
      <c r="BH300" s="2">
        <f t="shared" si="129"/>
        <v>0</v>
      </c>
      <c r="BI300" s="2">
        <f t="shared" si="129"/>
        <v>0</v>
      </c>
      <c r="BJ300" s="2">
        <f t="shared" si="129"/>
        <v>0</v>
      </c>
      <c r="BK300" s="2">
        <f t="shared" si="129"/>
        <v>0</v>
      </c>
      <c r="BL300" s="2">
        <f t="shared" si="129"/>
        <v>0</v>
      </c>
      <c r="BM300" s="2">
        <f t="shared" si="129"/>
        <v>0</v>
      </c>
      <c r="BN300" s="2">
        <f t="shared" si="129"/>
        <v>0</v>
      </c>
      <c r="BO300" s="2">
        <f t="shared" si="129"/>
        <v>0</v>
      </c>
      <c r="BP300" s="2">
        <f t="shared" si="129"/>
        <v>0</v>
      </c>
      <c r="BQ300" s="2">
        <f t="shared" si="129"/>
        <v>0</v>
      </c>
      <c r="BR300" s="2">
        <f t="shared" si="129"/>
        <v>0</v>
      </c>
      <c r="BS300" s="2">
        <f t="shared" si="129"/>
        <v>0</v>
      </c>
      <c r="BT300" s="2">
        <f t="shared" si="129"/>
        <v>0</v>
      </c>
      <c r="BU300" s="2">
        <f t="shared" si="129"/>
        <v>0</v>
      </c>
      <c r="BV300" s="2">
        <f t="shared" si="129"/>
        <v>0</v>
      </c>
      <c r="BW300" s="2">
        <f t="shared" si="129"/>
        <v>0</v>
      </c>
      <c r="BX300" s="2">
        <f t="shared" si="129"/>
        <v>0</v>
      </c>
      <c r="BY300" s="2">
        <f t="shared" si="129"/>
        <v>0</v>
      </c>
      <c r="BZ300" s="2">
        <f t="shared" si="129"/>
        <v>0</v>
      </c>
      <c r="CA300" s="2">
        <f t="shared" ref="CA300:DF300" si="130">CA312</f>
        <v>192126.6</v>
      </c>
      <c r="CB300" s="2">
        <f t="shared" si="130"/>
        <v>192126.6</v>
      </c>
      <c r="CC300" s="2">
        <f t="shared" si="130"/>
        <v>0</v>
      </c>
      <c r="CD300" s="2">
        <f t="shared" si="130"/>
        <v>0</v>
      </c>
      <c r="CE300" s="2">
        <f t="shared" si="130"/>
        <v>192126.6</v>
      </c>
      <c r="CF300" s="2">
        <f t="shared" si="130"/>
        <v>192126.6</v>
      </c>
      <c r="CG300" s="2">
        <f t="shared" si="130"/>
        <v>0</v>
      </c>
      <c r="CH300" s="2">
        <f t="shared" si="130"/>
        <v>192126.6</v>
      </c>
      <c r="CI300" s="2">
        <f t="shared" si="130"/>
        <v>0</v>
      </c>
      <c r="CJ300" s="2">
        <f t="shared" si="130"/>
        <v>0</v>
      </c>
      <c r="CK300" s="2">
        <f t="shared" si="130"/>
        <v>0</v>
      </c>
      <c r="CL300" s="2">
        <f t="shared" si="130"/>
        <v>0</v>
      </c>
      <c r="CM300" s="2">
        <f t="shared" si="130"/>
        <v>0</v>
      </c>
      <c r="CN300" s="2">
        <f t="shared" si="130"/>
        <v>0</v>
      </c>
      <c r="CO300" s="2">
        <f t="shared" si="130"/>
        <v>0</v>
      </c>
      <c r="CP300" s="2">
        <f t="shared" si="130"/>
        <v>0</v>
      </c>
      <c r="CQ300" s="2">
        <f t="shared" si="130"/>
        <v>0</v>
      </c>
      <c r="CR300" s="2">
        <f t="shared" si="130"/>
        <v>0</v>
      </c>
      <c r="CS300" s="2">
        <f t="shared" si="130"/>
        <v>0</v>
      </c>
      <c r="CT300" s="2">
        <f t="shared" si="130"/>
        <v>0</v>
      </c>
      <c r="CU300" s="2">
        <f t="shared" si="130"/>
        <v>0</v>
      </c>
      <c r="CV300" s="2">
        <f t="shared" si="130"/>
        <v>0</v>
      </c>
      <c r="CW300" s="2">
        <f t="shared" si="130"/>
        <v>0</v>
      </c>
      <c r="CX300" s="2">
        <f t="shared" si="130"/>
        <v>0</v>
      </c>
      <c r="CY300" s="2">
        <f t="shared" si="130"/>
        <v>0</v>
      </c>
      <c r="CZ300" s="2">
        <f t="shared" si="130"/>
        <v>0</v>
      </c>
      <c r="DA300" s="2">
        <f t="shared" si="130"/>
        <v>0</v>
      </c>
      <c r="DB300" s="2">
        <f t="shared" si="130"/>
        <v>0</v>
      </c>
      <c r="DC300" s="2">
        <f t="shared" si="130"/>
        <v>0</v>
      </c>
      <c r="DD300" s="2">
        <f t="shared" si="130"/>
        <v>0</v>
      </c>
      <c r="DE300" s="2">
        <f t="shared" si="130"/>
        <v>0</v>
      </c>
      <c r="DF300" s="2">
        <f t="shared" si="130"/>
        <v>0</v>
      </c>
      <c r="DG300" s="3">
        <f t="shared" ref="DG300:EL300" si="131">DG312</f>
        <v>0</v>
      </c>
      <c r="DH300" s="3">
        <f t="shared" si="131"/>
        <v>0</v>
      </c>
      <c r="DI300" s="3">
        <f t="shared" si="131"/>
        <v>0</v>
      </c>
      <c r="DJ300" s="3">
        <f t="shared" si="131"/>
        <v>0</v>
      </c>
      <c r="DK300" s="3">
        <f t="shared" si="131"/>
        <v>0</v>
      </c>
      <c r="DL300" s="3">
        <f t="shared" si="131"/>
        <v>0</v>
      </c>
      <c r="DM300" s="3">
        <f t="shared" si="131"/>
        <v>0</v>
      </c>
      <c r="DN300" s="3">
        <f t="shared" si="131"/>
        <v>0</v>
      </c>
      <c r="DO300" s="3">
        <f t="shared" si="131"/>
        <v>0</v>
      </c>
      <c r="DP300" s="3">
        <f t="shared" si="131"/>
        <v>0</v>
      </c>
      <c r="DQ300" s="3">
        <f t="shared" si="131"/>
        <v>0</v>
      </c>
      <c r="DR300" s="3">
        <f t="shared" si="131"/>
        <v>0</v>
      </c>
      <c r="DS300" s="3">
        <f t="shared" si="131"/>
        <v>0</v>
      </c>
      <c r="DT300" s="3">
        <f t="shared" si="131"/>
        <v>0</v>
      </c>
      <c r="DU300" s="3">
        <f t="shared" si="131"/>
        <v>0</v>
      </c>
      <c r="DV300" s="3">
        <f t="shared" si="131"/>
        <v>0</v>
      </c>
      <c r="DW300" s="3">
        <f t="shared" si="131"/>
        <v>0</v>
      </c>
      <c r="DX300" s="3">
        <f t="shared" si="131"/>
        <v>0</v>
      </c>
      <c r="DY300" s="3">
        <f t="shared" si="131"/>
        <v>0</v>
      </c>
      <c r="DZ300" s="3">
        <f t="shared" si="131"/>
        <v>0</v>
      </c>
      <c r="EA300" s="3">
        <f t="shared" si="131"/>
        <v>0</v>
      </c>
      <c r="EB300" s="3">
        <f t="shared" si="131"/>
        <v>0</v>
      </c>
      <c r="EC300" s="3">
        <f t="shared" si="131"/>
        <v>0</v>
      </c>
      <c r="ED300" s="3">
        <f t="shared" si="131"/>
        <v>0</v>
      </c>
      <c r="EE300" s="3">
        <f t="shared" si="131"/>
        <v>0</v>
      </c>
      <c r="EF300" s="3">
        <f t="shared" si="131"/>
        <v>0</v>
      </c>
      <c r="EG300" s="3">
        <f t="shared" si="131"/>
        <v>0</v>
      </c>
      <c r="EH300" s="3">
        <f t="shared" si="131"/>
        <v>0</v>
      </c>
      <c r="EI300" s="3">
        <f t="shared" si="131"/>
        <v>0</v>
      </c>
      <c r="EJ300" s="3">
        <f t="shared" si="131"/>
        <v>0</v>
      </c>
      <c r="EK300" s="3">
        <f t="shared" si="131"/>
        <v>0</v>
      </c>
      <c r="EL300" s="3">
        <f t="shared" si="131"/>
        <v>0</v>
      </c>
      <c r="EM300" s="3">
        <f t="shared" ref="EM300:FR300" si="132">EM312</f>
        <v>0</v>
      </c>
      <c r="EN300" s="3">
        <f t="shared" si="132"/>
        <v>0</v>
      </c>
      <c r="EO300" s="3">
        <f t="shared" si="132"/>
        <v>0</v>
      </c>
      <c r="EP300" s="3">
        <f t="shared" si="132"/>
        <v>0</v>
      </c>
      <c r="EQ300" s="3">
        <f t="shared" si="132"/>
        <v>0</v>
      </c>
      <c r="ER300" s="3">
        <f t="shared" si="132"/>
        <v>0</v>
      </c>
      <c r="ES300" s="3">
        <f t="shared" si="132"/>
        <v>0</v>
      </c>
      <c r="ET300" s="3">
        <f t="shared" si="132"/>
        <v>0</v>
      </c>
      <c r="EU300" s="3">
        <f t="shared" si="132"/>
        <v>0</v>
      </c>
      <c r="EV300" s="3">
        <f t="shared" si="132"/>
        <v>0</v>
      </c>
      <c r="EW300" s="3">
        <f t="shared" si="132"/>
        <v>0</v>
      </c>
      <c r="EX300" s="3">
        <f t="shared" si="132"/>
        <v>0</v>
      </c>
      <c r="EY300" s="3">
        <f t="shared" si="132"/>
        <v>0</v>
      </c>
      <c r="EZ300" s="3">
        <f t="shared" si="132"/>
        <v>0</v>
      </c>
      <c r="FA300" s="3">
        <f t="shared" si="132"/>
        <v>0</v>
      </c>
      <c r="FB300" s="3">
        <f t="shared" si="132"/>
        <v>0</v>
      </c>
      <c r="FC300" s="3">
        <f t="shared" si="132"/>
        <v>0</v>
      </c>
      <c r="FD300" s="3">
        <f t="shared" si="132"/>
        <v>0</v>
      </c>
      <c r="FE300" s="3">
        <f t="shared" si="132"/>
        <v>0</v>
      </c>
      <c r="FF300" s="3">
        <f t="shared" si="132"/>
        <v>0</v>
      </c>
      <c r="FG300" s="3">
        <f t="shared" si="132"/>
        <v>0</v>
      </c>
      <c r="FH300" s="3">
        <f t="shared" si="132"/>
        <v>0</v>
      </c>
      <c r="FI300" s="3">
        <f t="shared" si="132"/>
        <v>0</v>
      </c>
      <c r="FJ300" s="3">
        <f t="shared" si="132"/>
        <v>0</v>
      </c>
      <c r="FK300" s="3">
        <f t="shared" si="132"/>
        <v>0</v>
      </c>
      <c r="FL300" s="3">
        <f t="shared" si="132"/>
        <v>0</v>
      </c>
      <c r="FM300" s="3">
        <f t="shared" si="132"/>
        <v>0</v>
      </c>
      <c r="FN300" s="3">
        <f t="shared" si="132"/>
        <v>0</v>
      </c>
      <c r="FO300" s="3">
        <f t="shared" si="132"/>
        <v>0</v>
      </c>
      <c r="FP300" s="3">
        <f t="shared" si="132"/>
        <v>0</v>
      </c>
      <c r="FQ300" s="3">
        <f t="shared" si="132"/>
        <v>0</v>
      </c>
      <c r="FR300" s="3">
        <f t="shared" si="132"/>
        <v>0</v>
      </c>
      <c r="FS300" s="3">
        <f t="shared" ref="FS300:GX300" si="133">FS312</f>
        <v>0</v>
      </c>
      <c r="FT300" s="3">
        <f t="shared" si="133"/>
        <v>0</v>
      </c>
      <c r="FU300" s="3">
        <f t="shared" si="133"/>
        <v>0</v>
      </c>
      <c r="FV300" s="3">
        <f t="shared" si="133"/>
        <v>0</v>
      </c>
      <c r="FW300" s="3">
        <f t="shared" si="133"/>
        <v>0</v>
      </c>
      <c r="FX300" s="3">
        <f t="shared" si="133"/>
        <v>0</v>
      </c>
      <c r="FY300" s="3">
        <f t="shared" si="133"/>
        <v>0</v>
      </c>
      <c r="FZ300" s="3">
        <f t="shared" si="133"/>
        <v>0</v>
      </c>
      <c r="GA300" s="3">
        <f t="shared" si="133"/>
        <v>0</v>
      </c>
      <c r="GB300" s="3">
        <f t="shared" si="133"/>
        <v>0</v>
      </c>
      <c r="GC300" s="3">
        <f t="shared" si="133"/>
        <v>0</v>
      </c>
      <c r="GD300" s="3">
        <f t="shared" si="133"/>
        <v>0</v>
      </c>
      <c r="GE300" s="3">
        <f t="shared" si="133"/>
        <v>0</v>
      </c>
      <c r="GF300" s="3">
        <f t="shared" si="133"/>
        <v>0</v>
      </c>
      <c r="GG300" s="3">
        <f t="shared" si="133"/>
        <v>0</v>
      </c>
      <c r="GH300" s="3">
        <f t="shared" si="133"/>
        <v>0</v>
      </c>
      <c r="GI300" s="3">
        <f t="shared" si="133"/>
        <v>0</v>
      </c>
      <c r="GJ300" s="3">
        <f t="shared" si="133"/>
        <v>0</v>
      </c>
      <c r="GK300" s="3">
        <f t="shared" si="133"/>
        <v>0</v>
      </c>
      <c r="GL300" s="3">
        <f t="shared" si="133"/>
        <v>0</v>
      </c>
      <c r="GM300" s="3">
        <f t="shared" si="133"/>
        <v>0</v>
      </c>
      <c r="GN300" s="3">
        <f t="shared" si="133"/>
        <v>0</v>
      </c>
      <c r="GO300" s="3">
        <f t="shared" si="133"/>
        <v>0</v>
      </c>
      <c r="GP300" s="3">
        <f t="shared" si="133"/>
        <v>0</v>
      </c>
      <c r="GQ300" s="3">
        <f t="shared" si="133"/>
        <v>0</v>
      </c>
      <c r="GR300" s="3">
        <f t="shared" si="133"/>
        <v>0</v>
      </c>
      <c r="GS300" s="3">
        <f t="shared" si="133"/>
        <v>0</v>
      </c>
      <c r="GT300" s="3">
        <f t="shared" si="133"/>
        <v>0</v>
      </c>
      <c r="GU300" s="3">
        <f t="shared" si="133"/>
        <v>0</v>
      </c>
      <c r="GV300" s="3">
        <f t="shared" si="133"/>
        <v>0</v>
      </c>
      <c r="GW300" s="3">
        <f t="shared" si="133"/>
        <v>0</v>
      </c>
      <c r="GX300" s="3">
        <f t="shared" si="133"/>
        <v>0</v>
      </c>
    </row>
    <row r="302" spans="1:245">
      <c r="A302">
        <v>17</v>
      </c>
      <c r="B302">
        <v>1</v>
      </c>
      <c r="E302" t="s">
        <v>207</v>
      </c>
      <c r="F302" t="s">
        <v>127</v>
      </c>
      <c r="G302" t="s">
        <v>208</v>
      </c>
      <c r="H302" t="s">
        <v>20</v>
      </c>
      <c r="I302">
        <v>1</v>
      </c>
      <c r="J302">
        <v>0</v>
      </c>
      <c r="K302">
        <v>1</v>
      </c>
      <c r="O302">
        <f t="shared" ref="O302:O310" si="134">ROUND(CP302,2)</f>
        <v>15580.83</v>
      </c>
      <c r="P302">
        <f t="shared" ref="P302:P310" si="135">ROUND(CQ302*I302,2)</f>
        <v>15580.83</v>
      </c>
      <c r="Q302">
        <f t="shared" ref="Q302:Q310" si="136">ROUND(CR302*I302,2)</f>
        <v>0</v>
      </c>
      <c r="R302">
        <f t="shared" ref="R302:R310" si="137">ROUND(CS302*I302,2)</f>
        <v>0</v>
      </c>
      <c r="S302">
        <f t="shared" ref="S302:S310" si="138">ROUND(CT302*I302,2)</f>
        <v>0</v>
      </c>
      <c r="T302">
        <f t="shared" ref="T302:T310" si="139">ROUND(CU302*I302,2)</f>
        <v>0</v>
      </c>
      <c r="U302">
        <f t="shared" ref="U302:U310" si="140">CV302*I302</f>
        <v>0</v>
      </c>
      <c r="V302">
        <f t="shared" ref="V302:V310" si="141">CW302*I302</f>
        <v>0</v>
      </c>
      <c r="W302">
        <f t="shared" ref="W302:W310" si="142">ROUND(CX302*I302,2)</f>
        <v>0</v>
      </c>
      <c r="X302">
        <f t="shared" ref="X302:X310" si="143">ROUND(CY302,2)</f>
        <v>0</v>
      </c>
      <c r="Y302">
        <f t="shared" ref="Y302:Y310" si="144">ROUND(CZ302,2)</f>
        <v>0</v>
      </c>
      <c r="AA302">
        <v>41853493</v>
      </c>
      <c r="AB302">
        <f t="shared" ref="AB302:AB310" si="145">ROUND((AC302+AD302+AF302),2)</f>
        <v>15580.83</v>
      </c>
      <c r="AC302">
        <f t="shared" ref="AC302:AC310" si="146">ROUND((ES302),2)</f>
        <v>15580.83</v>
      </c>
      <c r="AD302">
        <f t="shared" ref="AD302:AD310" si="147">ROUND((((ET302)-(EU302))+AE302),2)</f>
        <v>0</v>
      </c>
      <c r="AE302">
        <f t="shared" ref="AE302:AE310" si="148">ROUND((EU302),2)</f>
        <v>0</v>
      </c>
      <c r="AF302">
        <f t="shared" ref="AF302:AF310" si="149">ROUND((EV302),2)</f>
        <v>0</v>
      </c>
      <c r="AG302">
        <f t="shared" ref="AG302:AG310" si="150">ROUND((AP302),2)</f>
        <v>0</v>
      </c>
      <c r="AH302">
        <f t="shared" ref="AH302:AH310" si="151">(EW302)</f>
        <v>0</v>
      </c>
      <c r="AI302">
        <f t="shared" ref="AI302:AI310" si="152">(EX302)</f>
        <v>0</v>
      </c>
      <c r="AJ302">
        <f t="shared" ref="AJ302:AJ310" si="153">(AS302)</f>
        <v>0</v>
      </c>
      <c r="AK302">
        <v>15580.83</v>
      </c>
      <c r="AL302">
        <v>15580.83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6</v>
      </c>
      <c r="BE302" t="s">
        <v>6</v>
      </c>
      <c r="BF302" t="s">
        <v>6</v>
      </c>
      <c r="BG302" t="s">
        <v>6</v>
      </c>
      <c r="BH302">
        <v>3</v>
      </c>
      <c r="BI302">
        <v>1</v>
      </c>
      <c r="BJ302" t="s">
        <v>6</v>
      </c>
      <c r="BM302">
        <v>1100</v>
      </c>
      <c r="BN302">
        <v>0</v>
      </c>
      <c r="BO302" t="s">
        <v>6</v>
      </c>
      <c r="BP302">
        <v>0</v>
      </c>
      <c r="BQ302">
        <v>8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6</v>
      </c>
      <c r="BZ302">
        <v>0</v>
      </c>
      <c r="CA302">
        <v>0</v>
      </c>
      <c r="CB302" t="s">
        <v>6</v>
      </c>
      <c r="CE302">
        <v>0</v>
      </c>
      <c r="CF302">
        <v>0</v>
      </c>
      <c r="CG302">
        <v>0</v>
      </c>
      <c r="CM302">
        <v>0</v>
      </c>
      <c r="CN302" t="s">
        <v>6</v>
      </c>
      <c r="CO302">
        <v>0</v>
      </c>
      <c r="CP302">
        <f t="shared" ref="CP302:CP310" si="154">(P302+Q302+S302+R302)</f>
        <v>15580.83</v>
      </c>
      <c r="CQ302">
        <f t="shared" ref="CQ302:CQ310" si="155">ROUND(AL302*BC302,2)</f>
        <v>15580.83</v>
      </c>
      <c r="CR302">
        <f t="shared" ref="CR302:CR310" si="156">ROUND(AM302*BB302,2)</f>
        <v>0</v>
      </c>
      <c r="CS302">
        <f t="shared" ref="CS302:CS310" si="157">ROUND(AN302*BS302,2)</f>
        <v>0</v>
      </c>
      <c r="CT302">
        <f t="shared" ref="CT302:CT310" si="158">ROUND(AO302*BA302,2)</f>
        <v>0</v>
      </c>
      <c r="CU302">
        <f t="shared" ref="CU302:CU310" si="159">AG302</f>
        <v>0</v>
      </c>
      <c r="CV302">
        <f t="shared" ref="CV302:CV310" si="160">AH302</f>
        <v>0</v>
      </c>
      <c r="CW302">
        <f t="shared" ref="CW302:CW310" si="161">AI302</f>
        <v>0</v>
      </c>
      <c r="CX302">
        <f t="shared" ref="CX302:CX310" si="162">AJ302</f>
        <v>0</v>
      </c>
      <c r="CY302">
        <f t="shared" ref="CY302:CY310" si="163">(((S302+R302)*AT302)/100)</f>
        <v>0</v>
      </c>
      <c r="CZ302">
        <f t="shared" ref="CZ302:CZ310" si="164">(((S302+R302)*AU302)/100)</f>
        <v>0</v>
      </c>
      <c r="DC302" t="s">
        <v>6</v>
      </c>
      <c r="DD302" t="s">
        <v>6</v>
      </c>
      <c r="DE302" t="s">
        <v>6</v>
      </c>
      <c r="DF302" t="s">
        <v>6</v>
      </c>
      <c r="DG302" t="s">
        <v>6</v>
      </c>
      <c r="DH302" t="s">
        <v>6</v>
      </c>
      <c r="DI302" t="s">
        <v>6</v>
      </c>
      <c r="DJ302" t="s">
        <v>6</v>
      </c>
      <c r="DK302" t="s">
        <v>6</v>
      </c>
      <c r="DL302" t="s">
        <v>6</v>
      </c>
      <c r="DM302" t="s">
        <v>6</v>
      </c>
      <c r="DN302">
        <v>0</v>
      </c>
      <c r="DO302">
        <v>0</v>
      </c>
      <c r="DP302">
        <v>1</v>
      </c>
      <c r="DQ302">
        <v>1</v>
      </c>
      <c r="DU302">
        <v>1013</v>
      </c>
      <c r="DV302" t="s">
        <v>20</v>
      </c>
      <c r="DW302" t="s">
        <v>20</v>
      </c>
      <c r="DX302">
        <v>1</v>
      </c>
      <c r="DZ302" t="s">
        <v>6</v>
      </c>
      <c r="EA302" t="s">
        <v>6</v>
      </c>
      <c r="EB302" t="s">
        <v>6</v>
      </c>
      <c r="EC302" t="s">
        <v>6</v>
      </c>
      <c r="EE302">
        <v>40604762</v>
      </c>
      <c r="EF302">
        <v>8</v>
      </c>
      <c r="EG302" t="s">
        <v>129</v>
      </c>
      <c r="EH302">
        <v>0</v>
      </c>
      <c r="EI302" t="s">
        <v>6</v>
      </c>
      <c r="EJ302">
        <v>1</v>
      </c>
      <c r="EK302">
        <v>1100</v>
      </c>
      <c r="EL302" t="s">
        <v>130</v>
      </c>
      <c r="EM302" t="s">
        <v>131</v>
      </c>
      <c r="EO302" t="s">
        <v>6</v>
      </c>
      <c r="EQ302">
        <v>0</v>
      </c>
      <c r="ER302">
        <v>15580.83</v>
      </c>
      <c r="ES302">
        <v>15580.83</v>
      </c>
      <c r="ET302">
        <v>0</v>
      </c>
      <c r="EU302">
        <v>0</v>
      </c>
      <c r="EV302">
        <v>0</v>
      </c>
      <c r="EW302">
        <v>0</v>
      </c>
      <c r="EX302">
        <v>0</v>
      </c>
      <c r="EY302">
        <v>0</v>
      </c>
      <c r="FQ302">
        <v>0</v>
      </c>
      <c r="FR302">
        <f t="shared" ref="FR302:FR310" si="165">ROUND(IF(BI302=3,GM302,0),2)</f>
        <v>0</v>
      </c>
      <c r="FS302">
        <v>0</v>
      </c>
      <c r="FX302">
        <v>0</v>
      </c>
      <c r="FY302">
        <v>0</v>
      </c>
      <c r="GA302" t="s">
        <v>132</v>
      </c>
      <c r="GD302">
        <v>1</v>
      </c>
      <c r="GF302">
        <v>-135470226</v>
      </c>
      <c r="GG302">
        <v>2</v>
      </c>
      <c r="GH302">
        <v>0</v>
      </c>
      <c r="GI302">
        <v>-2</v>
      </c>
      <c r="GJ302">
        <v>0</v>
      </c>
      <c r="GK302">
        <v>0</v>
      </c>
      <c r="GL302">
        <f t="shared" ref="GL302:GL310" si="166">ROUND(IF(AND(BH302=3,BI302=3,FS302&lt;&gt;0),P302,0),2)</f>
        <v>0</v>
      </c>
      <c r="GM302">
        <f t="shared" ref="GM302:GM310" si="167">ROUND(O302+X302+Y302,2)+GX302</f>
        <v>15580.83</v>
      </c>
      <c r="GN302">
        <f t="shared" ref="GN302:GN310" si="168">IF(OR(BI302=0,BI302=1),GM302,0)</f>
        <v>15580.83</v>
      </c>
      <c r="GO302">
        <f t="shared" ref="GO302:GO310" si="169">IF(BI302=2,GM302,0)</f>
        <v>0</v>
      </c>
      <c r="GP302">
        <f t="shared" ref="GP302:GP310" si="170">IF(BI302=4,GM302+GX302,0)</f>
        <v>0</v>
      </c>
      <c r="GR302">
        <v>0</v>
      </c>
      <c r="GS302">
        <v>4</v>
      </c>
      <c r="GT302">
        <v>0</v>
      </c>
      <c r="GU302" t="s">
        <v>6</v>
      </c>
      <c r="GV302">
        <f t="shared" ref="GV302:GV310" si="171">ROUND((GT302),2)</f>
        <v>0</v>
      </c>
      <c r="GW302">
        <v>1</v>
      </c>
      <c r="GX302">
        <f t="shared" ref="GX302:GX310" si="172">ROUND(HC302*I302,2)</f>
        <v>0</v>
      </c>
      <c r="HA302">
        <v>0</v>
      </c>
      <c r="HB302">
        <v>0</v>
      </c>
      <c r="HC302">
        <f t="shared" ref="HC302:HC310" si="173">GV302*GW302</f>
        <v>0</v>
      </c>
      <c r="HE302" t="s">
        <v>6</v>
      </c>
      <c r="HF302" t="s">
        <v>6</v>
      </c>
      <c r="HM302" t="s">
        <v>6</v>
      </c>
      <c r="HN302" t="s">
        <v>6</v>
      </c>
      <c r="HO302" t="s">
        <v>6</v>
      </c>
      <c r="HP302" t="s">
        <v>6</v>
      </c>
      <c r="HQ302" t="s">
        <v>6</v>
      </c>
      <c r="IK302">
        <v>0</v>
      </c>
    </row>
    <row r="303" spans="1:245">
      <c r="A303">
        <v>17</v>
      </c>
      <c r="B303">
        <v>1</v>
      </c>
      <c r="E303" t="s">
        <v>209</v>
      </c>
      <c r="F303" t="s">
        <v>127</v>
      </c>
      <c r="G303" t="s">
        <v>210</v>
      </c>
      <c r="H303" t="s">
        <v>20</v>
      </c>
      <c r="I303">
        <v>1</v>
      </c>
      <c r="J303">
        <v>0</v>
      </c>
      <c r="K303">
        <v>1</v>
      </c>
      <c r="O303">
        <f t="shared" si="134"/>
        <v>70430</v>
      </c>
      <c r="P303">
        <f t="shared" si="135"/>
        <v>70430</v>
      </c>
      <c r="Q303">
        <f t="shared" si="136"/>
        <v>0</v>
      </c>
      <c r="R303">
        <f t="shared" si="137"/>
        <v>0</v>
      </c>
      <c r="S303">
        <f t="shared" si="138"/>
        <v>0</v>
      </c>
      <c r="T303">
        <f t="shared" si="139"/>
        <v>0</v>
      </c>
      <c r="U303">
        <f t="shared" si="140"/>
        <v>0</v>
      </c>
      <c r="V303">
        <f t="shared" si="141"/>
        <v>0</v>
      </c>
      <c r="W303">
        <f t="shared" si="142"/>
        <v>0</v>
      </c>
      <c r="X303">
        <f t="shared" si="143"/>
        <v>0</v>
      </c>
      <c r="Y303">
        <f t="shared" si="144"/>
        <v>0</v>
      </c>
      <c r="AA303">
        <v>41853493</v>
      </c>
      <c r="AB303">
        <f t="shared" si="145"/>
        <v>70430</v>
      </c>
      <c r="AC303">
        <f t="shared" si="146"/>
        <v>70430</v>
      </c>
      <c r="AD303">
        <f t="shared" si="147"/>
        <v>0</v>
      </c>
      <c r="AE303">
        <f t="shared" si="148"/>
        <v>0</v>
      </c>
      <c r="AF303">
        <f t="shared" si="149"/>
        <v>0</v>
      </c>
      <c r="AG303">
        <f t="shared" si="150"/>
        <v>0</v>
      </c>
      <c r="AH303">
        <f t="shared" si="151"/>
        <v>0</v>
      </c>
      <c r="AI303">
        <f t="shared" si="152"/>
        <v>0</v>
      </c>
      <c r="AJ303">
        <f t="shared" si="153"/>
        <v>0</v>
      </c>
      <c r="AK303">
        <v>70430</v>
      </c>
      <c r="AL303">
        <v>70430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6</v>
      </c>
      <c r="BE303" t="s">
        <v>6</v>
      </c>
      <c r="BF303" t="s">
        <v>6</v>
      </c>
      <c r="BG303" t="s">
        <v>6</v>
      </c>
      <c r="BH303">
        <v>3</v>
      </c>
      <c r="BI303">
        <v>1</v>
      </c>
      <c r="BJ303" t="s">
        <v>6</v>
      </c>
      <c r="BM303">
        <v>1100</v>
      </c>
      <c r="BN303">
        <v>0</v>
      </c>
      <c r="BO303" t="s">
        <v>6</v>
      </c>
      <c r="BP303">
        <v>0</v>
      </c>
      <c r="BQ303">
        <v>8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6</v>
      </c>
      <c r="BZ303">
        <v>0</v>
      </c>
      <c r="CA303">
        <v>0</v>
      </c>
      <c r="CB303" t="s">
        <v>6</v>
      </c>
      <c r="CE303">
        <v>0</v>
      </c>
      <c r="CF303">
        <v>0</v>
      </c>
      <c r="CG303">
        <v>0</v>
      </c>
      <c r="CM303">
        <v>0</v>
      </c>
      <c r="CN303" t="s">
        <v>6</v>
      </c>
      <c r="CO303">
        <v>0</v>
      </c>
      <c r="CP303">
        <f t="shared" si="154"/>
        <v>70430</v>
      </c>
      <c r="CQ303">
        <f t="shared" si="155"/>
        <v>70430</v>
      </c>
      <c r="CR303">
        <f t="shared" si="156"/>
        <v>0</v>
      </c>
      <c r="CS303">
        <f t="shared" si="157"/>
        <v>0</v>
      </c>
      <c r="CT303">
        <f t="shared" si="158"/>
        <v>0</v>
      </c>
      <c r="CU303">
        <f t="shared" si="159"/>
        <v>0</v>
      </c>
      <c r="CV303">
        <f t="shared" si="160"/>
        <v>0</v>
      </c>
      <c r="CW303">
        <f t="shared" si="161"/>
        <v>0</v>
      </c>
      <c r="CX303">
        <f t="shared" si="162"/>
        <v>0</v>
      </c>
      <c r="CY303">
        <f t="shared" si="163"/>
        <v>0</v>
      </c>
      <c r="CZ303">
        <f t="shared" si="164"/>
        <v>0</v>
      </c>
      <c r="DC303" t="s">
        <v>6</v>
      </c>
      <c r="DD303" t="s">
        <v>6</v>
      </c>
      <c r="DE303" t="s">
        <v>6</v>
      </c>
      <c r="DF303" t="s">
        <v>6</v>
      </c>
      <c r="DG303" t="s">
        <v>6</v>
      </c>
      <c r="DH303" t="s">
        <v>6</v>
      </c>
      <c r="DI303" t="s">
        <v>6</v>
      </c>
      <c r="DJ303" t="s">
        <v>6</v>
      </c>
      <c r="DK303" t="s">
        <v>6</v>
      </c>
      <c r="DL303" t="s">
        <v>6</v>
      </c>
      <c r="DM303" t="s">
        <v>6</v>
      </c>
      <c r="DN303">
        <v>0</v>
      </c>
      <c r="DO303">
        <v>0</v>
      </c>
      <c r="DP303">
        <v>1</v>
      </c>
      <c r="DQ303">
        <v>1</v>
      </c>
      <c r="DU303">
        <v>1013</v>
      </c>
      <c r="DV303" t="s">
        <v>20</v>
      </c>
      <c r="DW303" t="s">
        <v>20</v>
      </c>
      <c r="DX303">
        <v>1</v>
      </c>
      <c r="DZ303" t="s">
        <v>6</v>
      </c>
      <c r="EA303" t="s">
        <v>6</v>
      </c>
      <c r="EB303" t="s">
        <v>6</v>
      </c>
      <c r="EC303" t="s">
        <v>6</v>
      </c>
      <c r="EE303">
        <v>40604762</v>
      </c>
      <c r="EF303">
        <v>8</v>
      </c>
      <c r="EG303" t="s">
        <v>129</v>
      </c>
      <c r="EH303">
        <v>0</v>
      </c>
      <c r="EI303" t="s">
        <v>6</v>
      </c>
      <c r="EJ303">
        <v>1</v>
      </c>
      <c r="EK303">
        <v>1100</v>
      </c>
      <c r="EL303" t="s">
        <v>130</v>
      </c>
      <c r="EM303" t="s">
        <v>131</v>
      </c>
      <c r="EO303" t="s">
        <v>6</v>
      </c>
      <c r="EQ303">
        <v>0</v>
      </c>
      <c r="ER303">
        <v>70430</v>
      </c>
      <c r="ES303">
        <v>70430</v>
      </c>
      <c r="ET303">
        <v>0</v>
      </c>
      <c r="EU303">
        <v>0</v>
      </c>
      <c r="EV303">
        <v>0</v>
      </c>
      <c r="EW303">
        <v>0</v>
      </c>
      <c r="EX303">
        <v>0</v>
      </c>
      <c r="EY303">
        <v>0</v>
      </c>
      <c r="FQ303">
        <v>0</v>
      </c>
      <c r="FR303">
        <f t="shared" si="165"/>
        <v>0</v>
      </c>
      <c r="FS303">
        <v>0</v>
      </c>
      <c r="FX303">
        <v>0</v>
      </c>
      <c r="FY303">
        <v>0</v>
      </c>
      <c r="GA303" t="s">
        <v>132</v>
      </c>
      <c r="GD303">
        <v>1</v>
      </c>
      <c r="GF303">
        <v>-1029702210</v>
      </c>
      <c r="GG303">
        <v>2</v>
      </c>
      <c r="GH303">
        <v>0</v>
      </c>
      <c r="GI303">
        <v>-2</v>
      </c>
      <c r="GJ303">
        <v>0</v>
      </c>
      <c r="GK303">
        <v>0</v>
      </c>
      <c r="GL303">
        <f t="shared" si="166"/>
        <v>0</v>
      </c>
      <c r="GM303">
        <f t="shared" si="167"/>
        <v>70430</v>
      </c>
      <c r="GN303">
        <f t="shared" si="168"/>
        <v>70430</v>
      </c>
      <c r="GO303">
        <f t="shared" si="169"/>
        <v>0</v>
      </c>
      <c r="GP303">
        <f t="shared" si="170"/>
        <v>0</v>
      </c>
      <c r="GR303">
        <v>0</v>
      </c>
      <c r="GS303">
        <v>4</v>
      </c>
      <c r="GT303">
        <v>0</v>
      </c>
      <c r="GU303" t="s">
        <v>6</v>
      </c>
      <c r="GV303">
        <f t="shared" si="171"/>
        <v>0</v>
      </c>
      <c r="GW303">
        <v>1</v>
      </c>
      <c r="GX303">
        <f t="shared" si="172"/>
        <v>0</v>
      </c>
      <c r="HA303">
        <v>0</v>
      </c>
      <c r="HB303">
        <v>0</v>
      </c>
      <c r="HC303">
        <f t="shared" si="173"/>
        <v>0</v>
      </c>
      <c r="HE303" t="s">
        <v>6</v>
      </c>
      <c r="HF303" t="s">
        <v>6</v>
      </c>
      <c r="HM303" t="s">
        <v>6</v>
      </c>
      <c r="HN303" t="s">
        <v>6</v>
      </c>
      <c r="HO303" t="s">
        <v>6</v>
      </c>
      <c r="HP303" t="s">
        <v>6</v>
      </c>
      <c r="HQ303" t="s">
        <v>6</v>
      </c>
      <c r="IK303">
        <v>0</v>
      </c>
    </row>
    <row r="304" spans="1:245">
      <c r="A304">
        <v>17</v>
      </c>
      <c r="B304">
        <v>1</v>
      </c>
      <c r="E304" t="s">
        <v>211</v>
      </c>
      <c r="F304" t="s">
        <v>127</v>
      </c>
      <c r="G304" t="s">
        <v>212</v>
      </c>
      <c r="H304" t="s">
        <v>20</v>
      </c>
      <c r="I304">
        <v>4</v>
      </c>
      <c r="J304">
        <v>0</v>
      </c>
      <c r="K304">
        <v>4</v>
      </c>
      <c r="O304">
        <f t="shared" si="134"/>
        <v>84903.32</v>
      </c>
      <c r="P304">
        <f t="shared" si="135"/>
        <v>84903.32</v>
      </c>
      <c r="Q304">
        <f t="shared" si="136"/>
        <v>0</v>
      </c>
      <c r="R304">
        <f t="shared" si="137"/>
        <v>0</v>
      </c>
      <c r="S304">
        <f t="shared" si="138"/>
        <v>0</v>
      </c>
      <c r="T304">
        <f t="shared" si="139"/>
        <v>0</v>
      </c>
      <c r="U304">
        <f t="shared" si="140"/>
        <v>0</v>
      </c>
      <c r="V304">
        <f t="shared" si="141"/>
        <v>0</v>
      </c>
      <c r="W304">
        <f t="shared" si="142"/>
        <v>0</v>
      </c>
      <c r="X304">
        <f t="shared" si="143"/>
        <v>0</v>
      </c>
      <c r="Y304">
        <f t="shared" si="144"/>
        <v>0</v>
      </c>
      <c r="AA304">
        <v>41853493</v>
      </c>
      <c r="AB304">
        <f t="shared" si="145"/>
        <v>21225.83</v>
      </c>
      <c r="AC304">
        <f t="shared" si="146"/>
        <v>21225.83</v>
      </c>
      <c r="AD304">
        <f t="shared" si="147"/>
        <v>0</v>
      </c>
      <c r="AE304">
        <f t="shared" si="148"/>
        <v>0</v>
      </c>
      <c r="AF304">
        <f t="shared" si="149"/>
        <v>0</v>
      </c>
      <c r="AG304">
        <f t="shared" si="150"/>
        <v>0</v>
      </c>
      <c r="AH304">
        <f t="shared" si="151"/>
        <v>0</v>
      </c>
      <c r="AI304">
        <f t="shared" si="152"/>
        <v>0</v>
      </c>
      <c r="AJ304">
        <f t="shared" si="153"/>
        <v>0</v>
      </c>
      <c r="AK304">
        <v>21225.83</v>
      </c>
      <c r="AL304">
        <v>21225.83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6</v>
      </c>
      <c r="BE304" t="s">
        <v>6</v>
      </c>
      <c r="BF304" t="s">
        <v>6</v>
      </c>
      <c r="BG304" t="s">
        <v>6</v>
      </c>
      <c r="BH304">
        <v>3</v>
      </c>
      <c r="BI304">
        <v>1</v>
      </c>
      <c r="BJ304" t="s">
        <v>6</v>
      </c>
      <c r="BM304">
        <v>1100</v>
      </c>
      <c r="BN304">
        <v>0</v>
      </c>
      <c r="BO304" t="s">
        <v>6</v>
      </c>
      <c r="BP304">
        <v>0</v>
      </c>
      <c r="BQ304">
        <v>8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6</v>
      </c>
      <c r="BZ304">
        <v>0</v>
      </c>
      <c r="CA304">
        <v>0</v>
      </c>
      <c r="CB304" t="s">
        <v>6</v>
      </c>
      <c r="CE304">
        <v>0</v>
      </c>
      <c r="CF304">
        <v>0</v>
      </c>
      <c r="CG304">
        <v>0</v>
      </c>
      <c r="CM304">
        <v>0</v>
      </c>
      <c r="CN304" t="s">
        <v>6</v>
      </c>
      <c r="CO304">
        <v>0</v>
      </c>
      <c r="CP304">
        <f t="shared" si="154"/>
        <v>84903.32</v>
      </c>
      <c r="CQ304">
        <f t="shared" si="155"/>
        <v>21225.83</v>
      </c>
      <c r="CR304">
        <f t="shared" si="156"/>
        <v>0</v>
      </c>
      <c r="CS304">
        <f t="shared" si="157"/>
        <v>0</v>
      </c>
      <c r="CT304">
        <f t="shared" si="158"/>
        <v>0</v>
      </c>
      <c r="CU304">
        <f t="shared" si="159"/>
        <v>0</v>
      </c>
      <c r="CV304">
        <f t="shared" si="160"/>
        <v>0</v>
      </c>
      <c r="CW304">
        <f t="shared" si="161"/>
        <v>0</v>
      </c>
      <c r="CX304">
        <f t="shared" si="162"/>
        <v>0</v>
      </c>
      <c r="CY304">
        <f t="shared" si="163"/>
        <v>0</v>
      </c>
      <c r="CZ304">
        <f t="shared" si="164"/>
        <v>0</v>
      </c>
      <c r="DC304" t="s">
        <v>6</v>
      </c>
      <c r="DD304" t="s">
        <v>6</v>
      </c>
      <c r="DE304" t="s">
        <v>6</v>
      </c>
      <c r="DF304" t="s">
        <v>6</v>
      </c>
      <c r="DG304" t="s">
        <v>6</v>
      </c>
      <c r="DH304" t="s">
        <v>6</v>
      </c>
      <c r="DI304" t="s">
        <v>6</v>
      </c>
      <c r="DJ304" t="s">
        <v>6</v>
      </c>
      <c r="DK304" t="s">
        <v>6</v>
      </c>
      <c r="DL304" t="s">
        <v>6</v>
      </c>
      <c r="DM304" t="s">
        <v>6</v>
      </c>
      <c r="DN304">
        <v>0</v>
      </c>
      <c r="DO304">
        <v>0</v>
      </c>
      <c r="DP304">
        <v>1</v>
      </c>
      <c r="DQ304">
        <v>1</v>
      </c>
      <c r="DU304">
        <v>1013</v>
      </c>
      <c r="DV304" t="s">
        <v>20</v>
      </c>
      <c r="DW304" t="s">
        <v>20</v>
      </c>
      <c r="DX304">
        <v>1</v>
      </c>
      <c r="DZ304" t="s">
        <v>6</v>
      </c>
      <c r="EA304" t="s">
        <v>6</v>
      </c>
      <c r="EB304" t="s">
        <v>6</v>
      </c>
      <c r="EC304" t="s">
        <v>6</v>
      </c>
      <c r="EE304">
        <v>40604762</v>
      </c>
      <c r="EF304">
        <v>8</v>
      </c>
      <c r="EG304" t="s">
        <v>129</v>
      </c>
      <c r="EH304">
        <v>0</v>
      </c>
      <c r="EI304" t="s">
        <v>6</v>
      </c>
      <c r="EJ304">
        <v>1</v>
      </c>
      <c r="EK304">
        <v>1100</v>
      </c>
      <c r="EL304" t="s">
        <v>130</v>
      </c>
      <c r="EM304" t="s">
        <v>131</v>
      </c>
      <c r="EO304" t="s">
        <v>6</v>
      </c>
      <c r="EQ304">
        <v>0</v>
      </c>
      <c r="ER304">
        <v>21225.83</v>
      </c>
      <c r="ES304">
        <v>21225.83</v>
      </c>
      <c r="ET304">
        <v>0</v>
      </c>
      <c r="EU304">
        <v>0</v>
      </c>
      <c r="EV304">
        <v>0</v>
      </c>
      <c r="EW304">
        <v>0</v>
      </c>
      <c r="EX304">
        <v>0</v>
      </c>
      <c r="EY304">
        <v>0</v>
      </c>
      <c r="FQ304">
        <v>0</v>
      </c>
      <c r="FR304">
        <f t="shared" si="165"/>
        <v>0</v>
      </c>
      <c r="FS304">
        <v>0</v>
      </c>
      <c r="FX304">
        <v>0</v>
      </c>
      <c r="FY304">
        <v>0</v>
      </c>
      <c r="GA304" t="s">
        <v>132</v>
      </c>
      <c r="GD304">
        <v>1</v>
      </c>
      <c r="GF304">
        <v>-934227559</v>
      </c>
      <c r="GG304">
        <v>2</v>
      </c>
      <c r="GH304">
        <v>0</v>
      </c>
      <c r="GI304">
        <v>-2</v>
      </c>
      <c r="GJ304">
        <v>0</v>
      </c>
      <c r="GK304">
        <v>0</v>
      </c>
      <c r="GL304">
        <f t="shared" si="166"/>
        <v>0</v>
      </c>
      <c r="GM304">
        <f t="shared" si="167"/>
        <v>84903.32</v>
      </c>
      <c r="GN304">
        <f t="shared" si="168"/>
        <v>84903.32</v>
      </c>
      <c r="GO304">
        <f t="shared" si="169"/>
        <v>0</v>
      </c>
      <c r="GP304">
        <f t="shared" si="170"/>
        <v>0</v>
      </c>
      <c r="GR304">
        <v>0</v>
      </c>
      <c r="GS304">
        <v>4</v>
      </c>
      <c r="GT304">
        <v>0</v>
      </c>
      <c r="GU304" t="s">
        <v>6</v>
      </c>
      <c r="GV304">
        <f t="shared" si="171"/>
        <v>0</v>
      </c>
      <c r="GW304">
        <v>1</v>
      </c>
      <c r="GX304">
        <f t="shared" si="172"/>
        <v>0</v>
      </c>
      <c r="HA304">
        <v>0</v>
      </c>
      <c r="HB304">
        <v>0</v>
      </c>
      <c r="HC304">
        <f t="shared" si="173"/>
        <v>0</v>
      </c>
      <c r="HE304" t="s">
        <v>6</v>
      </c>
      <c r="HF304" t="s">
        <v>6</v>
      </c>
      <c r="HM304" t="s">
        <v>6</v>
      </c>
      <c r="HN304" t="s">
        <v>6</v>
      </c>
      <c r="HO304" t="s">
        <v>6</v>
      </c>
      <c r="HP304" t="s">
        <v>6</v>
      </c>
      <c r="HQ304" t="s">
        <v>6</v>
      </c>
      <c r="IK304">
        <v>0</v>
      </c>
    </row>
    <row r="305" spans="1:245">
      <c r="A305">
        <v>17</v>
      </c>
      <c r="B305">
        <v>1</v>
      </c>
      <c r="E305" t="s">
        <v>213</v>
      </c>
      <c r="F305" t="s">
        <v>127</v>
      </c>
      <c r="G305" t="s">
        <v>214</v>
      </c>
      <c r="H305" t="s">
        <v>20</v>
      </c>
      <c r="I305">
        <v>12</v>
      </c>
      <c r="J305">
        <v>0</v>
      </c>
      <c r="K305">
        <v>12</v>
      </c>
      <c r="O305">
        <f t="shared" si="134"/>
        <v>13899.96</v>
      </c>
      <c r="P305">
        <f t="shared" si="135"/>
        <v>13899.96</v>
      </c>
      <c r="Q305">
        <f t="shared" si="136"/>
        <v>0</v>
      </c>
      <c r="R305">
        <f t="shared" si="137"/>
        <v>0</v>
      </c>
      <c r="S305">
        <f t="shared" si="138"/>
        <v>0</v>
      </c>
      <c r="T305">
        <f t="shared" si="139"/>
        <v>0</v>
      </c>
      <c r="U305">
        <f t="shared" si="140"/>
        <v>0</v>
      </c>
      <c r="V305">
        <f t="shared" si="141"/>
        <v>0</v>
      </c>
      <c r="W305">
        <f t="shared" si="142"/>
        <v>0</v>
      </c>
      <c r="X305">
        <f t="shared" si="143"/>
        <v>0</v>
      </c>
      <c r="Y305">
        <f t="shared" si="144"/>
        <v>0</v>
      </c>
      <c r="AA305">
        <v>41853493</v>
      </c>
      <c r="AB305">
        <f t="shared" si="145"/>
        <v>1158.33</v>
      </c>
      <c r="AC305">
        <f t="shared" si="146"/>
        <v>1158.33</v>
      </c>
      <c r="AD305">
        <f t="shared" si="147"/>
        <v>0</v>
      </c>
      <c r="AE305">
        <f t="shared" si="148"/>
        <v>0</v>
      </c>
      <c r="AF305">
        <f t="shared" si="149"/>
        <v>0</v>
      </c>
      <c r="AG305">
        <f t="shared" si="150"/>
        <v>0</v>
      </c>
      <c r="AH305">
        <f t="shared" si="151"/>
        <v>0</v>
      </c>
      <c r="AI305">
        <f t="shared" si="152"/>
        <v>0</v>
      </c>
      <c r="AJ305">
        <f t="shared" si="153"/>
        <v>0</v>
      </c>
      <c r="AK305">
        <v>1158.33</v>
      </c>
      <c r="AL305">
        <v>1158.33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6</v>
      </c>
      <c r="BE305" t="s">
        <v>6</v>
      </c>
      <c r="BF305" t="s">
        <v>6</v>
      </c>
      <c r="BG305" t="s">
        <v>6</v>
      </c>
      <c r="BH305">
        <v>3</v>
      </c>
      <c r="BI305">
        <v>1</v>
      </c>
      <c r="BJ305" t="s">
        <v>6</v>
      </c>
      <c r="BM305">
        <v>1100</v>
      </c>
      <c r="BN305">
        <v>0</v>
      </c>
      <c r="BO305" t="s">
        <v>6</v>
      </c>
      <c r="BP305">
        <v>0</v>
      </c>
      <c r="BQ305">
        <v>8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6</v>
      </c>
      <c r="BZ305">
        <v>0</v>
      </c>
      <c r="CA305">
        <v>0</v>
      </c>
      <c r="CB305" t="s">
        <v>6</v>
      </c>
      <c r="CE305">
        <v>0</v>
      </c>
      <c r="CF305">
        <v>0</v>
      </c>
      <c r="CG305">
        <v>0</v>
      </c>
      <c r="CM305">
        <v>0</v>
      </c>
      <c r="CN305" t="s">
        <v>6</v>
      </c>
      <c r="CO305">
        <v>0</v>
      </c>
      <c r="CP305">
        <f t="shared" si="154"/>
        <v>13899.96</v>
      </c>
      <c r="CQ305">
        <f t="shared" si="155"/>
        <v>1158.33</v>
      </c>
      <c r="CR305">
        <f t="shared" si="156"/>
        <v>0</v>
      </c>
      <c r="CS305">
        <f t="shared" si="157"/>
        <v>0</v>
      </c>
      <c r="CT305">
        <f t="shared" si="158"/>
        <v>0</v>
      </c>
      <c r="CU305">
        <f t="shared" si="159"/>
        <v>0</v>
      </c>
      <c r="CV305">
        <f t="shared" si="160"/>
        <v>0</v>
      </c>
      <c r="CW305">
        <f t="shared" si="161"/>
        <v>0</v>
      </c>
      <c r="CX305">
        <f t="shared" si="162"/>
        <v>0</v>
      </c>
      <c r="CY305">
        <f t="shared" si="163"/>
        <v>0</v>
      </c>
      <c r="CZ305">
        <f t="shared" si="164"/>
        <v>0</v>
      </c>
      <c r="DC305" t="s">
        <v>6</v>
      </c>
      <c r="DD305" t="s">
        <v>6</v>
      </c>
      <c r="DE305" t="s">
        <v>6</v>
      </c>
      <c r="DF305" t="s">
        <v>6</v>
      </c>
      <c r="DG305" t="s">
        <v>6</v>
      </c>
      <c r="DH305" t="s">
        <v>6</v>
      </c>
      <c r="DI305" t="s">
        <v>6</v>
      </c>
      <c r="DJ305" t="s">
        <v>6</v>
      </c>
      <c r="DK305" t="s">
        <v>6</v>
      </c>
      <c r="DL305" t="s">
        <v>6</v>
      </c>
      <c r="DM305" t="s">
        <v>6</v>
      </c>
      <c r="DN305">
        <v>0</v>
      </c>
      <c r="DO305">
        <v>0</v>
      </c>
      <c r="DP305">
        <v>1</v>
      </c>
      <c r="DQ305">
        <v>1</v>
      </c>
      <c r="DU305">
        <v>1013</v>
      </c>
      <c r="DV305" t="s">
        <v>20</v>
      </c>
      <c r="DW305" t="s">
        <v>20</v>
      </c>
      <c r="DX305">
        <v>1</v>
      </c>
      <c r="DZ305" t="s">
        <v>6</v>
      </c>
      <c r="EA305" t="s">
        <v>6</v>
      </c>
      <c r="EB305" t="s">
        <v>6</v>
      </c>
      <c r="EC305" t="s">
        <v>6</v>
      </c>
      <c r="EE305">
        <v>40604762</v>
      </c>
      <c r="EF305">
        <v>8</v>
      </c>
      <c r="EG305" t="s">
        <v>129</v>
      </c>
      <c r="EH305">
        <v>0</v>
      </c>
      <c r="EI305" t="s">
        <v>6</v>
      </c>
      <c r="EJ305">
        <v>1</v>
      </c>
      <c r="EK305">
        <v>1100</v>
      </c>
      <c r="EL305" t="s">
        <v>130</v>
      </c>
      <c r="EM305" t="s">
        <v>131</v>
      </c>
      <c r="EO305" t="s">
        <v>6</v>
      </c>
      <c r="EQ305">
        <v>0</v>
      </c>
      <c r="ER305">
        <v>1158.33</v>
      </c>
      <c r="ES305">
        <v>1158.33</v>
      </c>
      <c r="ET305">
        <v>0</v>
      </c>
      <c r="EU305">
        <v>0</v>
      </c>
      <c r="EV305">
        <v>0</v>
      </c>
      <c r="EW305">
        <v>0</v>
      </c>
      <c r="EX305">
        <v>0</v>
      </c>
      <c r="EY305">
        <v>0</v>
      </c>
      <c r="FQ305">
        <v>0</v>
      </c>
      <c r="FR305">
        <f t="shared" si="165"/>
        <v>0</v>
      </c>
      <c r="FS305">
        <v>0</v>
      </c>
      <c r="FX305">
        <v>0</v>
      </c>
      <c r="FY305">
        <v>0</v>
      </c>
      <c r="GA305" t="s">
        <v>132</v>
      </c>
      <c r="GD305">
        <v>1</v>
      </c>
      <c r="GF305">
        <v>-143940747</v>
      </c>
      <c r="GG305">
        <v>2</v>
      </c>
      <c r="GH305">
        <v>0</v>
      </c>
      <c r="GI305">
        <v>-2</v>
      </c>
      <c r="GJ305">
        <v>0</v>
      </c>
      <c r="GK305">
        <v>0</v>
      </c>
      <c r="GL305">
        <f t="shared" si="166"/>
        <v>0</v>
      </c>
      <c r="GM305">
        <f t="shared" si="167"/>
        <v>13899.96</v>
      </c>
      <c r="GN305">
        <f t="shared" si="168"/>
        <v>13899.96</v>
      </c>
      <c r="GO305">
        <f t="shared" si="169"/>
        <v>0</v>
      </c>
      <c r="GP305">
        <f t="shared" si="170"/>
        <v>0</v>
      </c>
      <c r="GR305">
        <v>0</v>
      </c>
      <c r="GS305">
        <v>4</v>
      </c>
      <c r="GT305">
        <v>0</v>
      </c>
      <c r="GU305" t="s">
        <v>6</v>
      </c>
      <c r="GV305">
        <f t="shared" si="171"/>
        <v>0</v>
      </c>
      <c r="GW305">
        <v>1</v>
      </c>
      <c r="GX305">
        <f t="shared" si="172"/>
        <v>0</v>
      </c>
      <c r="HA305">
        <v>0</v>
      </c>
      <c r="HB305">
        <v>0</v>
      </c>
      <c r="HC305">
        <f t="shared" si="173"/>
        <v>0</v>
      </c>
      <c r="HE305" t="s">
        <v>6</v>
      </c>
      <c r="HF305" t="s">
        <v>6</v>
      </c>
      <c r="HM305" t="s">
        <v>6</v>
      </c>
      <c r="HN305" t="s">
        <v>6</v>
      </c>
      <c r="HO305" t="s">
        <v>6</v>
      </c>
      <c r="HP305" t="s">
        <v>6</v>
      </c>
      <c r="HQ305" t="s">
        <v>6</v>
      </c>
      <c r="IK305">
        <v>0</v>
      </c>
    </row>
    <row r="306" spans="1:245">
      <c r="A306">
        <v>17</v>
      </c>
      <c r="B306">
        <v>1</v>
      </c>
      <c r="E306" t="s">
        <v>215</v>
      </c>
      <c r="F306" t="s">
        <v>127</v>
      </c>
      <c r="G306" t="s">
        <v>216</v>
      </c>
      <c r="H306" t="s">
        <v>20</v>
      </c>
      <c r="I306">
        <v>8</v>
      </c>
      <c r="J306">
        <v>0</v>
      </c>
      <c r="K306">
        <v>8</v>
      </c>
      <c r="O306">
        <f t="shared" si="134"/>
        <v>1946.64</v>
      </c>
      <c r="P306">
        <f t="shared" si="135"/>
        <v>1946.64</v>
      </c>
      <c r="Q306">
        <f t="shared" si="136"/>
        <v>0</v>
      </c>
      <c r="R306">
        <f t="shared" si="137"/>
        <v>0</v>
      </c>
      <c r="S306">
        <f t="shared" si="138"/>
        <v>0</v>
      </c>
      <c r="T306">
        <f t="shared" si="139"/>
        <v>0</v>
      </c>
      <c r="U306">
        <f t="shared" si="140"/>
        <v>0</v>
      </c>
      <c r="V306">
        <f t="shared" si="141"/>
        <v>0</v>
      </c>
      <c r="W306">
        <f t="shared" si="142"/>
        <v>0</v>
      </c>
      <c r="X306">
        <f t="shared" si="143"/>
        <v>0</v>
      </c>
      <c r="Y306">
        <f t="shared" si="144"/>
        <v>0</v>
      </c>
      <c r="AA306">
        <v>41853493</v>
      </c>
      <c r="AB306">
        <f t="shared" si="145"/>
        <v>243.33</v>
      </c>
      <c r="AC306">
        <f t="shared" si="146"/>
        <v>243.33</v>
      </c>
      <c r="AD306">
        <f t="shared" si="147"/>
        <v>0</v>
      </c>
      <c r="AE306">
        <f t="shared" si="148"/>
        <v>0</v>
      </c>
      <c r="AF306">
        <f t="shared" si="149"/>
        <v>0</v>
      </c>
      <c r="AG306">
        <f t="shared" si="150"/>
        <v>0</v>
      </c>
      <c r="AH306">
        <f t="shared" si="151"/>
        <v>0</v>
      </c>
      <c r="AI306">
        <f t="shared" si="152"/>
        <v>0</v>
      </c>
      <c r="AJ306">
        <f t="shared" si="153"/>
        <v>0</v>
      </c>
      <c r="AK306">
        <v>243.33</v>
      </c>
      <c r="AL306">
        <v>243.33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6</v>
      </c>
      <c r="BE306" t="s">
        <v>6</v>
      </c>
      <c r="BF306" t="s">
        <v>6</v>
      </c>
      <c r="BG306" t="s">
        <v>6</v>
      </c>
      <c r="BH306">
        <v>3</v>
      </c>
      <c r="BI306">
        <v>1</v>
      </c>
      <c r="BJ306" t="s">
        <v>6</v>
      </c>
      <c r="BM306">
        <v>1100</v>
      </c>
      <c r="BN306">
        <v>0</v>
      </c>
      <c r="BO306" t="s">
        <v>6</v>
      </c>
      <c r="BP306">
        <v>0</v>
      </c>
      <c r="BQ306">
        <v>8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6</v>
      </c>
      <c r="BZ306">
        <v>0</v>
      </c>
      <c r="CA306">
        <v>0</v>
      </c>
      <c r="CB306" t="s">
        <v>6</v>
      </c>
      <c r="CE306">
        <v>0</v>
      </c>
      <c r="CF306">
        <v>0</v>
      </c>
      <c r="CG306">
        <v>0</v>
      </c>
      <c r="CM306">
        <v>0</v>
      </c>
      <c r="CN306" t="s">
        <v>6</v>
      </c>
      <c r="CO306">
        <v>0</v>
      </c>
      <c r="CP306">
        <f t="shared" si="154"/>
        <v>1946.64</v>
      </c>
      <c r="CQ306">
        <f t="shared" si="155"/>
        <v>243.33</v>
      </c>
      <c r="CR306">
        <f t="shared" si="156"/>
        <v>0</v>
      </c>
      <c r="CS306">
        <f t="shared" si="157"/>
        <v>0</v>
      </c>
      <c r="CT306">
        <f t="shared" si="158"/>
        <v>0</v>
      </c>
      <c r="CU306">
        <f t="shared" si="159"/>
        <v>0</v>
      </c>
      <c r="CV306">
        <f t="shared" si="160"/>
        <v>0</v>
      </c>
      <c r="CW306">
        <f t="shared" si="161"/>
        <v>0</v>
      </c>
      <c r="CX306">
        <f t="shared" si="162"/>
        <v>0</v>
      </c>
      <c r="CY306">
        <f t="shared" si="163"/>
        <v>0</v>
      </c>
      <c r="CZ306">
        <f t="shared" si="164"/>
        <v>0</v>
      </c>
      <c r="DC306" t="s">
        <v>6</v>
      </c>
      <c r="DD306" t="s">
        <v>6</v>
      </c>
      <c r="DE306" t="s">
        <v>6</v>
      </c>
      <c r="DF306" t="s">
        <v>6</v>
      </c>
      <c r="DG306" t="s">
        <v>6</v>
      </c>
      <c r="DH306" t="s">
        <v>6</v>
      </c>
      <c r="DI306" t="s">
        <v>6</v>
      </c>
      <c r="DJ306" t="s">
        <v>6</v>
      </c>
      <c r="DK306" t="s">
        <v>6</v>
      </c>
      <c r="DL306" t="s">
        <v>6</v>
      </c>
      <c r="DM306" t="s">
        <v>6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20</v>
      </c>
      <c r="DW306" t="s">
        <v>20</v>
      </c>
      <c r="DX306">
        <v>1</v>
      </c>
      <c r="DZ306" t="s">
        <v>6</v>
      </c>
      <c r="EA306" t="s">
        <v>6</v>
      </c>
      <c r="EB306" t="s">
        <v>6</v>
      </c>
      <c r="EC306" t="s">
        <v>6</v>
      </c>
      <c r="EE306">
        <v>40604762</v>
      </c>
      <c r="EF306">
        <v>8</v>
      </c>
      <c r="EG306" t="s">
        <v>129</v>
      </c>
      <c r="EH306">
        <v>0</v>
      </c>
      <c r="EI306" t="s">
        <v>6</v>
      </c>
      <c r="EJ306">
        <v>1</v>
      </c>
      <c r="EK306">
        <v>1100</v>
      </c>
      <c r="EL306" t="s">
        <v>130</v>
      </c>
      <c r="EM306" t="s">
        <v>131</v>
      </c>
      <c r="EO306" t="s">
        <v>6</v>
      </c>
      <c r="EQ306">
        <v>0</v>
      </c>
      <c r="ER306">
        <v>243.33</v>
      </c>
      <c r="ES306">
        <v>243.33</v>
      </c>
      <c r="ET306">
        <v>0</v>
      </c>
      <c r="EU306">
        <v>0</v>
      </c>
      <c r="EV306">
        <v>0</v>
      </c>
      <c r="EW306">
        <v>0</v>
      </c>
      <c r="EX306">
        <v>0</v>
      </c>
      <c r="EY306">
        <v>0</v>
      </c>
      <c r="FQ306">
        <v>0</v>
      </c>
      <c r="FR306">
        <f t="shared" si="165"/>
        <v>0</v>
      </c>
      <c r="FS306">
        <v>0</v>
      </c>
      <c r="FX306">
        <v>0</v>
      </c>
      <c r="FY306">
        <v>0</v>
      </c>
      <c r="GA306" t="s">
        <v>132</v>
      </c>
      <c r="GD306">
        <v>1</v>
      </c>
      <c r="GF306">
        <v>-1143588329</v>
      </c>
      <c r="GG306">
        <v>2</v>
      </c>
      <c r="GH306">
        <v>0</v>
      </c>
      <c r="GI306">
        <v>-2</v>
      </c>
      <c r="GJ306">
        <v>0</v>
      </c>
      <c r="GK306">
        <v>0</v>
      </c>
      <c r="GL306">
        <f t="shared" si="166"/>
        <v>0</v>
      </c>
      <c r="GM306">
        <f t="shared" si="167"/>
        <v>1946.64</v>
      </c>
      <c r="GN306">
        <f t="shared" si="168"/>
        <v>1946.64</v>
      </c>
      <c r="GO306">
        <f t="shared" si="169"/>
        <v>0</v>
      </c>
      <c r="GP306">
        <f t="shared" si="170"/>
        <v>0</v>
      </c>
      <c r="GR306">
        <v>0</v>
      </c>
      <c r="GS306">
        <v>4</v>
      </c>
      <c r="GT306">
        <v>0</v>
      </c>
      <c r="GU306" t="s">
        <v>6</v>
      </c>
      <c r="GV306">
        <f t="shared" si="171"/>
        <v>0</v>
      </c>
      <c r="GW306">
        <v>1</v>
      </c>
      <c r="GX306">
        <f t="shared" si="172"/>
        <v>0</v>
      </c>
      <c r="HA306">
        <v>0</v>
      </c>
      <c r="HB306">
        <v>0</v>
      </c>
      <c r="HC306">
        <f t="shared" si="173"/>
        <v>0</v>
      </c>
      <c r="HE306" t="s">
        <v>6</v>
      </c>
      <c r="HF306" t="s">
        <v>6</v>
      </c>
      <c r="HM306" t="s">
        <v>6</v>
      </c>
      <c r="HN306" t="s">
        <v>6</v>
      </c>
      <c r="HO306" t="s">
        <v>6</v>
      </c>
      <c r="HP306" t="s">
        <v>6</v>
      </c>
      <c r="HQ306" t="s">
        <v>6</v>
      </c>
      <c r="IK306">
        <v>0</v>
      </c>
    </row>
    <row r="307" spans="1:245">
      <c r="A307">
        <v>17</v>
      </c>
      <c r="B307">
        <v>1</v>
      </c>
      <c r="E307" t="s">
        <v>217</v>
      </c>
      <c r="F307" t="s">
        <v>127</v>
      </c>
      <c r="G307" t="s">
        <v>218</v>
      </c>
      <c r="H307" t="s">
        <v>20</v>
      </c>
      <c r="I307">
        <v>1</v>
      </c>
      <c r="J307">
        <v>0</v>
      </c>
      <c r="K307">
        <v>1</v>
      </c>
      <c r="O307">
        <f t="shared" si="134"/>
        <v>557.5</v>
      </c>
      <c r="P307">
        <f t="shared" si="135"/>
        <v>557.5</v>
      </c>
      <c r="Q307">
        <f t="shared" si="136"/>
        <v>0</v>
      </c>
      <c r="R307">
        <f t="shared" si="137"/>
        <v>0</v>
      </c>
      <c r="S307">
        <f t="shared" si="138"/>
        <v>0</v>
      </c>
      <c r="T307">
        <f t="shared" si="139"/>
        <v>0</v>
      </c>
      <c r="U307">
        <f t="shared" si="140"/>
        <v>0</v>
      </c>
      <c r="V307">
        <f t="shared" si="141"/>
        <v>0</v>
      </c>
      <c r="W307">
        <f t="shared" si="142"/>
        <v>0</v>
      </c>
      <c r="X307">
        <f t="shared" si="143"/>
        <v>0</v>
      </c>
      <c r="Y307">
        <f t="shared" si="144"/>
        <v>0</v>
      </c>
      <c r="AA307">
        <v>41853493</v>
      </c>
      <c r="AB307">
        <f t="shared" si="145"/>
        <v>557.5</v>
      </c>
      <c r="AC307">
        <f t="shared" si="146"/>
        <v>557.5</v>
      </c>
      <c r="AD307">
        <f t="shared" si="147"/>
        <v>0</v>
      </c>
      <c r="AE307">
        <f t="shared" si="148"/>
        <v>0</v>
      </c>
      <c r="AF307">
        <f t="shared" si="149"/>
        <v>0</v>
      </c>
      <c r="AG307">
        <f t="shared" si="150"/>
        <v>0</v>
      </c>
      <c r="AH307">
        <f t="shared" si="151"/>
        <v>0</v>
      </c>
      <c r="AI307">
        <f t="shared" si="152"/>
        <v>0</v>
      </c>
      <c r="AJ307">
        <f t="shared" si="153"/>
        <v>0</v>
      </c>
      <c r="AK307">
        <v>557.5</v>
      </c>
      <c r="AL307">
        <v>557.5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6</v>
      </c>
      <c r="BE307" t="s">
        <v>6</v>
      </c>
      <c r="BF307" t="s">
        <v>6</v>
      </c>
      <c r="BG307" t="s">
        <v>6</v>
      </c>
      <c r="BH307">
        <v>3</v>
      </c>
      <c r="BI307">
        <v>1</v>
      </c>
      <c r="BJ307" t="s">
        <v>6</v>
      </c>
      <c r="BM307">
        <v>1100</v>
      </c>
      <c r="BN307">
        <v>0</v>
      </c>
      <c r="BO307" t="s">
        <v>6</v>
      </c>
      <c r="BP307">
        <v>0</v>
      </c>
      <c r="BQ307">
        <v>8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6</v>
      </c>
      <c r="BZ307">
        <v>0</v>
      </c>
      <c r="CA307">
        <v>0</v>
      </c>
      <c r="CB307" t="s">
        <v>6</v>
      </c>
      <c r="CE307">
        <v>0</v>
      </c>
      <c r="CF307">
        <v>0</v>
      </c>
      <c r="CG307">
        <v>0</v>
      </c>
      <c r="CM307">
        <v>0</v>
      </c>
      <c r="CN307" t="s">
        <v>6</v>
      </c>
      <c r="CO307">
        <v>0</v>
      </c>
      <c r="CP307">
        <f t="shared" si="154"/>
        <v>557.5</v>
      </c>
      <c r="CQ307">
        <f t="shared" si="155"/>
        <v>557.5</v>
      </c>
      <c r="CR307">
        <f t="shared" si="156"/>
        <v>0</v>
      </c>
      <c r="CS307">
        <f t="shared" si="157"/>
        <v>0</v>
      </c>
      <c r="CT307">
        <f t="shared" si="158"/>
        <v>0</v>
      </c>
      <c r="CU307">
        <f t="shared" si="159"/>
        <v>0</v>
      </c>
      <c r="CV307">
        <f t="shared" si="160"/>
        <v>0</v>
      </c>
      <c r="CW307">
        <f t="shared" si="161"/>
        <v>0</v>
      </c>
      <c r="CX307">
        <f t="shared" si="162"/>
        <v>0</v>
      </c>
      <c r="CY307">
        <f t="shared" si="163"/>
        <v>0</v>
      </c>
      <c r="CZ307">
        <f t="shared" si="164"/>
        <v>0</v>
      </c>
      <c r="DC307" t="s">
        <v>6</v>
      </c>
      <c r="DD307" t="s">
        <v>6</v>
      </c>
      <c r="DE307" t="s">
        <v>6</v>
      </c>
      <c r="DF307" t="s">
        <v>6</v>
      </c>
      <c r="DG307" t="s">
        <v>6</v>
      </c>
      <c r="DH307" t="s">
        <v>6</v>
      </c>
      <c r="DI307" t="s">
        <v>6</v>
      </c>
      <c r="DJ307" t="s">
        <v>6</v>
      </c>
      <c r="DK307" t="s">
        <v>6</v>
      </c>
      <c r="DL307" t="s">
        <v>6</v>
      </c>
      <c r="DM307" t="s">
        <v>6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20</v>
      </c>
      <c r="DW307" t="s">
        <v>20</v>
      </c>
      <c r="DX307">
        <v>1</v>
      </c>
      <c r="DZ307" t="s">
        <v>6</v>
      </c>
      <c r="EA307" t="s">
        <v>6</v>
      </c>
      <c r="EB307" t="s">
        <v>6</v>
      </c>
      <c r="EC307" t="s">
        <v>6</v>
      </c>
      <c r="EE307">
        <v>40604762</v>
      </c>
      <c r="EF307">
        <v>8</v>
      </c>
      <c r="EG307" t="s">
        <v>129</v>
      </c>
      <c r="EH307">
        <v>0</v>
      </c>
      <c r="EI307" t="s">
        <v>6</v>
      </c>
      <c r="EJ307">
        <v>1</v>
      </c>
      <c r="EK307">
        <v>1100</v>
      </c>
      <c r="EL307" t="s">
        <v>130</v>
      </c>
      <c r="EM307" t="s">
        <v>131</v>
      </c>
      <c r="EO307" t="s">
        <v>6</v>
      </c>
      <c r="EQ307">
        <v>0</v>
      </c>
      <c r="ER307">
        <v>557.5</v>
      </c>
      <c r="ES307">
        <v>557.5</v>
      </c>
      <c r="ET307">
        <v>0</v>
      </c>
      <c r="EU307">
        <v>0</v>
      </c>
      <c r="EV307">
        <v>0</v>
      </c>
      <c r="EW307">
        <v>0</v>
      </c>
      <c r="EX307">
        <v>0</v>
      </c>
      <c r="EY307">
        <v>0</v>
      </c>
      <c r="FQ307">
        <v>0</v>
      </c>
      <c r="FR307">
        <f t="shared" si="165"/>
        <v>0</v>
      </c>
      <c r="FS307">
        <v>0</v>
      </c>
      <c r="FX307">
        <v>0</v>
      </c>
      <c r="FY307">
        <v>0</v>
      </c>
      <c r="GA307" t="s">
        <v>132</v>
      </c>
      <c r="GD307">
        <v>1</v>
      </c>
      <c r="GF307">
        <v>-1637058020</v>
      </c>
      <c r="GG307">
        <v>2</v>
      </c>
      <c r="GH307">
        <v>0</v>
      </c>
      <c r="GI307">
        <v>-2</v>
      </c>
      <c r="GJ307">
        <v>0</v>
      </c>
      <c r="GK307">
        <v>0</v>
      </c>
      <c r="GL307">
        <f t="shared" si="166"/>
        <v>0</v>
      </c>
      <c r="GM307">
        <f t="shared" si="167"/>
        <v>557.5</v>
      </c>
      <c r="GN307">
        <f t="shared" si="168"/>
        <v>557.5</v>
      </c>
      <c r="GO307">
        <f t="shared" si="169"/>
        <v>0</v>
      </c>
      <c r="GP307">
        <f t="shared" si="170"/>
        <v>0</v>
      </c>
      <c r="GR307">
        <v>0</v>
      </c>
      <c r="GS307">
        <v>4</v>
      </c>
      <c r="GT307">
        <v>0</v>
      </c>
      <c r="GU307" t="s">
        <v>6</v>
      </c>
      <c r="GV307">
        <f t="shared" si="171"/>
        <v>0</v>
      </c>
      <c r="GW307">
        <v>1</v>
      </c>
      <c r="GX307">
        <f t="shared" si="172"/>
        <v>0</v>
      </c>
      <c r="HA307">
        <v>0</v>
      </c>
      <c r="HB307">
        <v>0</v>
      </c>
      <c r="HC307">
        <f t="shared" si="173"/>
        <v>0</v>
      </c>
      <c r="HE307" t="s">
        <v>6</v>
      </c>
      <c r="HF307" t="s">
        <v>6</v>
      </c>
      <c r="HM307" t="s">
        <v>6</v>
      </c>
      <c r="HN307" t="s">
        <v>6</v>
      </c>
      <c r="HO307" t="s">
        <v>6</v>
      </c>
      <c r="HP307" t="s">
        <v>6</v>
      </c>
      <c r="HQ307" t="s">
        <v>6</v>
      </c>
      <c r="IK307">
        <v>0</v>
      </c>
    </row>
    <row r="308" spans="1:245">
      <c r="A308">
        <v>17</v>
      </c>
      <c r="B308">
        <v>1</v>
      </c>
      <c r="E308" t="s">
        <v>219</v>
      </c>
      <c r="F308" t="s">
        <v>127</v>
      </c>
      <c r="G308" t="s">
        <v>220</v>
      </c>
      <c r="H308" t="s">
        <v>135</v>
      </c>
      <c r="I308">
        <v>25</v>
      </c>
      <c r="J308">
        <v>0</v>
      </c>
      <c r="K308">
        <v>25</v>
      </c>
      <c r="O308">
        <f t="shared" si="134"/>
        <v>541.75</v>
      </c>
      <c r="P308">
        <f t="shared" si="135"/>
        <v>541.75</v>
      </c>
      <c r="Q308">
        <f t="shared" si="136"/>
        <v>0</v>
      </c>
      <c r="R308">
        <f t="shared" si="137"/>
        <v>0</v>
      </c>
      <c r="S308">
        <f t="shared" si="138"/>
        <v>0</v>
      </c>
      <c r="T308">
        <f t="shared" si="139"/>
        <v>0</v>
      </c>
      <c r="U308">
        <f t="shared" si="140"/>
        <v>0</v>
      </c>
      <c r="V308">
        <f t="shared" si="141"/>
        <v>0</v>
      </c>
      <c r="W308">
        <f t="shared" si="142"/>
        <v>0</v>
      </c>
      <c r="X308">
        <f t="shared" si="143"/>
        <v>0</v>
      </c>
      <c r="Y308">
        <f t="shared" si="144"/>
        <v>0</v>
      </c>
      <c r="AA308">
        <v>41853493</v>
      </c>
      <c r="AB308">
        <f t="shared" si="145"/>
        <v>21.67</v>
      </c>
      <c r="AC308">
        <f t="shared" si="146"/>
        <v>21.67</v>
      </c>
      <c r="AD308">
        <f t="shared" si="147"/>
        <v>0</v>
      </c>
      <c r="AE308">
        <f t="shared" si="148"/>
        <v>0</v>
      </c>
      <c r="AF308">
        <f t="shared" si="149"/>
        <v>0</v>
      </c>
      <c r="AG308">
        <f t="shared" si="150"/>
        <v>0</v>
      </c>
      <c r="AH308">
        <f t="shared" si="151"/>
        <v>0</v>
      </c>
      <c r="AI308">
        <f t="shared" si="152"/>
        <v>0</v>
      </c>
      <c r="AJ308">
        <f t="shared" si="153"/>
        <v>0</v>
      </c>
      <c r="AK308">
        <v>21.67</v>
      </c>
      <c r="AL308">
        <v>21.67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6</v>
      </c>
      <c r="BE308" t="s">
        <v>6</v>
      </c>
      <c r="BF308" t="s">
        <v>6</v>
      </c>
      <c r="BG308" t="s">
        <v>6</v>
      </c>
      <c r="BH308">
        <v>3</v>
      </c>
      <c r="BI308">
        <v>1</v>
      </c>
      <c r="BJ308" t="s">
        <v>6</v>
      </c>
      <c r="BM308">
        <v>1100</v>
      </c>
      <c r="BN308">
        <v>0</v>
      </c>
      <c r="BO308" t="s">
        <v>6</v>
      </c>
      <c r="BP308">
        <v>0</v>
      </c>
      <c r="BQ308">
        <v>8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6</v>
      </c>
      <c r="BZ308">
        <v>0</v>
      </c>
      <c r="CA308">
        <v>0</v>
      </c>
      <c r="CB308" t="s">
        <v>6</v>
      </c>
      <c r="CE308">
        <v>0</v>
      </c>
      <c r="CF308">
        <v>0</v>
      </c>
      <c r="CG308">
        <v>0</v>
      </c>
      <c r="CM308">
        <v>0</v>
      </c>
      <c r="CN308" t="s">
        <v>6</v>
      </c>
      <c r="CO308">
        <v>0</v>
      </c>
      <c r="CP308">
        <f t="shared" si="154"/>
        <v>541.75</v>
      </c>
      <c r="CQ308">
        <f t="shared" si="155"/>
        <v>21.67</v>
      </c>
      <c r="CR308">
        <f t="shared" si="156"/>
        <v>0</v>
      </c>
      <c r="CS308">
        <f t="shared" si="157"/>
        <v>0</v>
      </c>
      <c r="CT308">
        <f t="shared" si="158"/>
        <v>0</v>
      </c>
      <c r="CU308">
        <f t="shared" si="159"/>
        <v>0</v>
      </c>
      <c r="CV308">
        <f t="shared" si="160"/>
        <v>0</v>
      </c>
      <c r="CW308">
        <f t="shared" si="161"/>
        <v>0</v>
      </c>
      <c r="CX308">
        <f t="shared" si="162"/>
        <v>0</v>
      </c>
      <c r="CY308">
        <f t="shared" si="163"/>
        <v>0</v>
      </c>
      <c r="CZ308">
        <f t="shared" si="164"/>
        <v>0</v>
      </c>
      <c r="DC308" t="s">
        <v>6</v>
      </c>
      <c r="DD308" t="s">
        <v>6</v>
      </c>
      <c r="DE308" t="s">
        <v>6</v>
      </c>
      <c r="DF308" t="s">
        <v>6</v>
      </c>
      <c r="DG308" t="s">
        <v>6</v>
      </c>
      <c r="DH308" t="s">
        <v>6</v>
      </c>
      <c r="DI308" t="s">
        <v>6</v>
      </c>
      <c r="DJ308" t="s">
        <v>6</v>
      </c>
      <c r="DK308" t="s">
        <v>6</v>
      </c>
      <c r="DL308" t="s">
        <v>6</v>
      </c>
      <c r="DM308" t="s">
        <v>6</v>
      </c>
      <c r="DN308">
        <v>0</v>
      </c>
      <c r="DO308">
        <v>0</v>
      </c>
      <c r="DP308">
        <v>1</v>
      </c>
      <c r="DQ308">
        <v>1</v>
      </c>
      <c r="DU308">
        <v>1003</v>
      </c>
      <c r="DV308" t="s">
        <v>135</v>
      </c>
      <c r="DW308" t="s">
        <v>135</v>
      </c>
      <c r="DX308">
        <v>1</v>
      </c>
      <c r="DZ308" t="s">
        <v>6</v>
      </c>
      <c r="EA308" t="s">
        <v>6</v>
      </c>
      <c r="EB308" t="s">
        <v>6</v>
      </c>
      <c r="EC308" t="s">
        <v>6</v>
      </c>
      <c r="EE308">
        <v>40604762</v>
      </c>
      <c r="EF308">
        <v>8</v>
      </c>
      <c r="EG308" t="s">
        <v>129</v>
      </c>
      <c r="EH308">
        <v>0</v>
      </c>
      <c r="EI308" t="s">
        <v>6</v>
      </c>
      <c r="EJ308">
        <v>1</v>
      </c>
      <c r="EK308">
        <v>1100</v>
      </c>
      <c r="EL308" t="s">
        <v>130</v>
      </c>
      <c r="EM308" t="s">
        <v>131</v>
      </c>
      <c r="EO308" t="s">
        <v>6</v>
      </c>
      <c r="EQ308">
        <v>0</v>
      </c>
      <c r="ER308">
        <v>21.67</v>
      </c>
      <c r="ES308">
        <v>21.67</v>
      </c>
      <c r="ET308">
        <v>0</v>
      </c>
      <c r="EU308">
        <v>0</v>
      </c>
      <c r="EV308">
        <v>0</v>
      </c>
      <c r="EW308">
        <v>0</v>
      </c>
      <c r="EX308">
        <v>0</v>
      </c>
      <c r="EY308">
        <v>0</v>
      </c>
      <c r="FQ308">
        <v>0</v>
      </c>
      <c r="FR308">
        <f t="shared" si="165"/>
        <v>0</v>
      </c>
      <c r="FS308">
        <v>0</v>
      </c>
      <c r="FX308">
        <v>0</v>
      </c>
      <c r="FY308">
        <v>0</v>
      </c>
      <c r="GA308" t="s">
        <v>132</v>
      </c>
      <c r="GD308">
        <v>1</v>
      </c>
      <c r="GF308">
        <v>975754670</v>
      </c>
      <c r="GG308">
        <v>2</v>
      </c>
      <c r="GH308">
        <v>0</v>
      </c>
      <c r="GI308">
        <v>-2</v>
      </c>
      <c r="GJ308">
        <v>0</v>
      </c>
      <c r="GK308">
        <v>0</v>
      </c>
      <c r="GL308">
        <f t="shared" si="166"/>
        <v>0</v>
      </c>
      <c r="GM308">
        <f t="shared" si="167"/>
        <v>541.75</v>
      </c>
      <c r="GN308">
        <f t="shared" si="168"/>
        <v>541.75</v>
      </c>
      <c r="GO308">
        <f t="shared" si="169"/>
        <v>0</v>
      </c>
      <c r="GP308">
        <f t="shared" si="170"/>
        <v>0</v>
      </c>
      <c r="GR308">
        <v>0</v>
      </c>
      <c r="GS308">
        <v>4</v>
      </c>
      <c r="GT308">
        <v>0</v>
      </c>
      <c r="GU308" t="s">
        <v>6</v>
      </c>
      <c r="GV308">
        <f t="shared" si="171"/>
        <v>0</v>
      </c>
      <c r="GW308">
        <v>1</v>
      </c>
      <c r="GX308">
        <f t="shared" si="172"/>
        <v>0</v>
      </c>
      <c r="HA308">
        <v>0</v>
      </c>
      <c r="HB308">
        <v>0</v>
      </c>
      <c r="HC308">
        <f t="shared" si="173"/>
        <v>0</v>
      </c>
      <c r="HE308" t="s">
        <v>6</v>
      </c>
      <c r="HF308" t="s">
        <v>6</v>
      </c>
      <c r="HM308" t="s">
        <v>6</v>
      </c>
      <c r="HN308" t="s">
        <v>6</v>
      </c>
      <c r="HO308" t="s">
        <v>6</v>
      </c>
      <c r="HP308" t="s">
        <v>6</v>
      </c>
      <c r="HQ308" t="s">
        <v>6</v>
      </c>
      <c r="IK308">
        <v>0</v>
      </c>
    </row>
    <row r="309" spans="1:245">
      <c r="A309">
        <v>17</v>
      </c>
      <c r="B309">
        <v>1</v>
      </c>
      <c r="E309" t="s">
        <v>221</v>
      </c>
      <c r="F309" t="s">
        <v>127</v>
      </c>
      <c r="G309" t="s">
        <v>222</v>
      </c>
      <c r="H309" t="s">
        <v>135</v>
      </c>
      <c r="I309">
        <v>20</v>
      </c>
      <c r="J309">
        <v>0</v>
      </c>
      <c r="K309">
        <v>20</v>
      </c>
      <c r="O309">
        <f t="shared" si="134"/>
        <v>3916.6</v>
      </c>
      <c r="P309">
        <f t="shared" si="135"/>
        <v>3916.6</v>
      </c>
      <c r="Q309">
        <f t="shared" si="136"/>
        <v>0</v>
      </c>
      <c r="R309">
        <f t="shared" si="137"/>
        <v>0</v>
      </c>
      <c r="S309">
        <f t="shared" si="138"/>
        <v>0</v>
      </c>
      <c r="T309">
        <f t="shared" si="139"/>
        <v>0</v>
      </c>
      <c r="U309">
        <f t="shared" si="140"/>
        <v>0</v>
      </c>
      <c r="V309">
        <f t="shared" si="141"/>
        <v>0</v>
      </c>
      <c r="W309">
        <f t="shared" si="142"/>
        <v>0</v>
      </c>
      <c r="X309">
        <f t="shared" si="143"/>
        <v>0</v>
      </c>
      <c r="Y309">
        <f t="shared" si="144"/>
        <v>0</v>
      </c>
      <c r="AA309">
        <v>41853493</v>
      </c>
      <c r="AB309">
        <f t="shared" si="145"/>
        <v>195.83</v>
      </c>
      <c r="AC309">
        <f t="shared" si="146"/>
        <v>195.83</v>
      </c>
      <c r="AD309">
        <f t="shared" si="147"/>
        <v>0</v>
      </c>
      <c r="AE309">
        <f t="shared" si="148"/>
        <v>0</v>
      </c>
      <c r="AF309">
        <f t="shared" si="149"/>
        <v>0</v>
      </c>
      <c r="AG309">
        <f t="shared" si="150"/>
        <v>0</v>
      </c>
      <c r="AH309">
        <f t="shared" si="151"/>
        <v>0</v>
      </c>
      <c r="AI309">
        <f t="shared" si="152"/>
        <v>0</v>
      </c>
      <c r="AJ309">
        <f t="shared" si="153"/>
        <v>0</v>
      </c>
      <c r="AK309">
        <v>195.83</v>
      </c>
      <c r="AL309">
        <v>195.83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6</v>
      </c>
      <c r="BE309" t="s">
        <v>6</v>
      </c>
      <c r="BF309" t="s">
        <v>6</v>
      </c>
      <c r="BG309" t="s">
        <v>6</v>
      </c>
      <c r="BH309">
        <v>3</v>
      </c>
      <c r="BI309">
        <v>1</v>
      </c>
      <c r="BJ309" t="s">
        <v>6</v>
      </c>
      <c r="BM309">
        <v>1100</v>
      </c>
      <c r="BN309">
        <v>0</v>
      </c>
      <c r="BO309" t="s">
        <v>6</v>
      </c>
      <c r="BP309">
        <v>0</v>
      </c>
      <c r="BQ309">
        <v>8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6</v>
      </c>
      <c r="BZ309">
        <v>0</v>
      </c>
      <c r="CA309">
        <v>0</v>
      </c>
      <c r="CB309" t="s">
        <v>6</v>
      </c>
      <c r="CE309">
        <v>0</v>
      </c>
      <c r="CF309">
        <v>0</v>
      </c>
      <c r="CG309">
        <v>0</v>
      </c>
      <c r="CM309">
        <v>0</v>
      </c>
      <c r="CN309" t="s">
        <v>6</v>
      </c>
      <c r="CO309">
        <v>0</v>
      </c>
      <c r="CP309">
        <f t="shared" si="154"/>
        <v>3916.6</v>
      </c>
      <c r="CQ309">
        <f t="shared" si="155"/>
        <v>195.83</v>
      </c>
      <c r="CR309">
        <f t="shared" si="156"/>
        <v>0</v>
      </c>
      <c r="CS309">
        <f t="shared" si="157"/>
        <v>0</v>
      </c>
      <c r="CT309">
        <f t="shared" si="158"/>
        <v>0</v>
      </c>
      <c r="CU309">
        <f t="shared" si="159"/>
        <v>0</v>
      </c>
      <c r="CV309">
        <f t="shared" si="160"/>
        <v>0</v>
      </c>
      <c r="CW309">
        <f t="shared" si="161"/>
        <v>0</v>
      </c>
      <c r="CX309">
        <f t="shared" si="162"/>
        <v>0</v>
      </c>
      <c r="CY309">
        <f t="shared" si="163"/>
        <v>0</v>
      </c>
      <c r="CZ309">
        <f t="shared" si="164"/>
        <v>0</v>
      </c>
      <c r="DC309" t="s">
        <v>6</v>
      </c>
      <c r="DD309" t="s">
        <v>6</v>
      </c>
      <c r="DE309" t="s">
        <v>6</v>
      </c>
      <c r="DF309" t="s">
        <v>6</v>
      </c>
      <c r="DG309" t="s">
        <v>6</v>
      </c>
      <c r="DH309" t="s">
        <v>6</v>
      </c>
      <c r="DI309" t="s">
        <v>6</v>
      </c>
      <c r="DJ309" t="s">
        <v>6</v>
      </c>
      <c r="DK309" t="s">
        <v>6</v>
      </c>
      <c r="DL309" t="s">
        <v>6</v>
      </c>
      <c r="DM309" t="s">
        <v>6</v>
      </c>
      <c r="DN309">
        <v>0</v>
      </c>
      <c r="DO309">
        <v>0</v>
      </c>
      <c r="DP309">
        <v>1</v>
      </c>
      <c r="DQ309">
        <v>1</v>
      </c>
      <c r="DU309">
        <v>1003</v>
      </c>
      <c r="DV309" t="s">
        <v>135</v>
      </c>
      <c r="DW309" t="s">
        <v>135</v>
      </c>
      <c r="DX309">
        <v>1</v>
      </c>
      <c r="DZ309" t="s">
        <v>6</v>
      </c>
      <c r="EA309" t="s">
        <v>6</v>
      </c>
      <c r="EB309" t="s">
        <v>6</v>
      </c>
      <c r="EC309" t="s">
        <v>6</v>
      </c>
      <c r="EE309">
        <v>40604762</v>
      </c>
      <c r="EF309">
        <v>8</v>
      </c>
      <c r="EG309" t="s">
        <v>129</v>
      </c>
      <c r="EH309">
        <v>0</v>
      </c>
      <c r="EI309" t="s">
        <v>6</v>
      </c>
      <c r="EJ309">
        <v>1</v>
      </c>
      <c r="EK309">
        <v>1100</v>
      </c>
      <c r="EL309" t="s">
        <v>130</v>
      </c>
      <c r="EM309" t="s">
        <v>131</v>
      </c>
      <c r="EO309" t="s">
        <v>6</v>
      </c>
      <c r="EQ309">
        <v>0</v>
      </c>
      <c r="ER309">
        <v>195.83</v>
      </c>
      <c r="ES309">
        <v>195.83</v>
      </c>
      <c r="ET309">
        <v>0</v>
      </c>
      <c r="EU309">
        <v>0</v>
      </c>
      <c r="EV309">
        <v>0</v>
      </c>
      <c r="EW309">
        <v>0</v>
      </c>
      <c r="EX309">
        <v>0</v>
      </c>
      <c r="EY309">
        <v>0</v>
      </c>
      <c r="FQ309">
        <v>0</v>
      </c>
      <c r="FR309">
        <f t="shared" si="165"/>
        <v>0</v>
      </c>
      <c r="FS309">
        <v>0</v>
      </c>
      <c r="FX309">
        <v>0</v>
      </c>
      <c r="FY309">
        <v>0</v>
      </c>
      <c r="GA309" t="s">
        <v>132</v>
      </c>
      <c r="GD309">
        <v>1</v>
      </c>
      <c r="GF309">
        <v>-251239246</v>
      </c>
      <c r="GG309">
        <v>2</v>
      </c>
      <c r="GH309">
        <v>0</v>
      </c>
      <c r="GI309">
        <v>-2</v>
      </c>
      <c r="GJ309">
        <v>0</v>
      </c>
      <c r="GK309">
        <v>0</v>
      </c>
      <c r="GL309">
        <f t="shared" si="166"/>
        <v>0</v>
      </c>
      <c r="GM309">
        <f t="shared" si="167"/>
        <v>3916.6</v>
      </c>
      <c r="GN309">
        <f t="shared" si="168"/>
        <v>3916.6</v>
      </c>
      <c r="GO309">
        <f t="shared" si="169"/>
        <v>0</v>
      </c>
      <c r="GP309">
        <f t="shared" si="170"/>
        <v>0</v>
      </c>
      <c r="GR309">
        <v>0</v>
      </c>
      <c r="GS309">
        <v>4</v>
      </c>
      <c r="GT309">
        <v>0</v>
      </c>
      <c r="GU309" t="s">
        <v>6</v>
      </c>
      <c r="GV309">
        <f t="shared" si="171"/>
        <v>0</v>
      </c>
      <c r="GW309">
        <v>1</v>
      </c>
      <c r="GX309">
        <f t="shared" si="172"/>
        <v>0</v>
      </c>
      <c r="HA309">
        <v>0</v>
      </c>
      <c r="HB309">
        <v>0</v>
      </c>
      <c r="HC309">
        <f t="shared" si="173"/>
        <v>0</v>
      </c>
      <c r="HE309" t="s">
        <v>6</v>
      </c>
      <c r="HF309" t="s">
        <v>6</v>
      </c>
      <c r="HM309" t="s">
        <v>6</v>
      </c>
      <c r="HN309" t="s">
        <v>6</v>
      </c>
      <c r="HO309" t="s">
        <v>6</v>
      </c>
      <c r="HP309" t="s">
        <v>6</v>
      </c>
      <c r="HQ309" t="s">
        <v>6</v>
      </c>
      <c r="IK309">
        <v>0</v>
      </c>
    </row>
    <row r="310" spans="1:245">
      <c r="A310">
        <v>17</v>
      </c>
      <c r="B310">
        <v>1</v>
      </c>
      <c r="E310" t="s">
        <v>223</v>
      </c>
      <c r="F310" t="s">
        <v>127</v>
      </c>
      <c r="G310" t="s">
        <v>224</v>
      </c>
      <c r="H310" t="s">
        <v>135</v>
      </c>
      <c r="I310">
        <v>5</v>
      </c>
      <c r="J310">
        <v>0</v>
      </c>
      <c r="K310">
        <v>5</v>
      </c>
      <c r="O310">
        <f t="shared" si="134"/>
        <v>350</v>
      </c>
      <c r="P310">
        <f t="shared" si="135"/>
        <v>350</v>
      </c>
      <c r="Q310">
        <f t="shared" si="136"/>
        <v>0</v>
      </c>
      <c r="R310">
        <f t="shared" si="137"/>
        <v>0</v>
      </c>
      <c r="S310">
        <f t="shared" si="138"/>
        <v>0</v>
      </c>
      <c r="T310">
        <f t="shared" si="139"/>
        <v>0</v>
      </c>
      <c r="U310">
        <f t="shared" si="140"/>
        <v>0</v>
      </c>
      <c r="V310">
        <f t="shared" si="141"/>
        <v>0</v>
      </c>
      <c r="W310">
        <f t="shared" si="142"/>
        <v>0</v>
      </c>
      <c r="X310">
        <f t="shared" si="143"/>
        <v>0</v>
      </c>
      <c r="Y310">
        <f t="shared" si="144"/>
        <v>0</v>
      </c>
      <c r="AA310">
        <v>41853493</v>
      </c>
      <c r="AB310">
        <f t="shared" si="145"/>
        <v>70</v>
      </c>
      <c r="AC310">
        <f t="shared" si="146"/>
        <v>70</v>
      </c>
      <c r="AD310">
        <f t="shared" si="147"/>
        <v>0</v>
      </c>
      <c r="AE310">
        <f t="shared" si="148"/>
        <v>0</v>
      </c>
      <c r="AF310">
        <f t="shared" si="149"/>
        <v>0</v>
      </c>
      <c r="AG310">
        <f t="shared" si="150"/>
        <v>0</v>
      </c>
      <c r="AH310">
        <f t="shared" si="151"/>
        <v>0</v>
      </c>
      <c r="AI310">
        <f t="shared" si="152"/>
        <v>0</v>
      </c>
      <c r="AJ310">
        <f t="shared" si="153"/>
        <v>0</v>
      </c>
      <c r="AK310">
        <v>70</v>
      </c>
      <c r="AL310">
        <v>70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6</v>
      </c>
      <c r="BE310" t="s">
        <v>6</v>
      </c>
      <c r="BF310" t="s">
        <v>6</v>
      </c>
      <c r="BG310" t="s">
        <v>6</v>
      </c>
      <c r="BH310">
        <v>3</v>
      </c>
      <c r="BI310">
        <v>1</v>
      </c>
      <c r="BJ310" t="s">
        <v>6</v>
      </c>
      <c r="BM310">
        <v>1100</v>
      </c>
      <c r="BN310">
        <v>0</v>
      </c>
      <c r="BO310" t="s">
        <v>6</v>
      </c>
      <c r="BP310">
        <v>0</v>
      </c>
      <c r="BQ310">
        <v>8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6</v>
      </c>
      <c r="BZ310">
        <v>0</v>
      </c>
      <c r="CA310">
        <v>0</v>
      </c>
      <c r="CB310" t="s">
        <v>6</v>
      </c>
      <c r="CE310">
        <v>0</v>
      </c>
      <c r="CF310">
        <v>0</v>
      </c>
      <c r="CG310">
        <v>0</v>
      </c>
      <c r="CM310">
        <v>0</v>
      </c>
      <c r="CN310" t="s">
        <v>6</v>
      </c>
      <c r="CO310">
        <v>0</v>
      </c>
      <c r="CP310">
        <f t="shared" si="154"/>
        <v>350</v>
      </c>
      <c r="CQ310">
        <f t="shared" si="155"/>
        <v>70</v>
      </c>
      <c r="CR310">
        <f t="shared" si="156"/>
        <v>0</v>
      </c>
      <c r="CS310">
        <f t="shared" si="157"/>
        <v>0</v>
      </c>
      <c r="CT310">
        <f t="shared" si="158"/>
        <v>0</v>
      </c>
      <c r="CU310">
        <f t="shared" si="159"/>
        <v>0</v>
      </c>
      <c r="CV310">
        <f t="shared" si="160"/>
        <v>0</v>
      </c>
      <c r="CW310">
        <f t="shared" si="161"/>
        <v>0</v>
      </c>
      <c r="CX310">
        <f t="shared" si="162"/>
        <v>0</v>
      </c>
      <c r="CY310">
        <f t="shared" si="163"/>
        <v>0</v>
      </c>
      <c r="CZ310">
        <f t="shared" si="164"/>
        <v>0</v>
      </c>
      <c r="DC310" t="s">
        <v>6</v>
      </c>
      <c r="DD310" t="s">
        <v>6</v>
      </c>
      <c r="DE310" t="s">
        <v>6</v>
      </c>
      <c r="DF310" t="s">
        <v>6</v>
      </c>
      <c r="DG310" t="s">
        <v>6</v>
      </c>
      <c r="DH310" t="s">
        <v>6</v>
      </c>
      <c r="DI310" t="s">
        <v>6</v>
      </c>
      <c r="DJ310" t="s">
        <v>6</v>
      </c>
      <c r="DK310" t="s">
        <v>6</v>
      </c>
      <c r="DL310" t="s">
        <v>6</v>
      </c>
      <c r="DM310" t="s">
        <v>6</v>
      </c>
      <c r="DN310">
        <v>0</v>
      </c>
      <c r="DO310">
        <v>0</v>
      </c>
      <c r="DP310">
        <v>1</v>
      </c>
      <c r="DQ310">
        <v>1</v>
      </c>
      <c r="DU310">
        <v>1003</v>
      </c>
      <c r="DV310" t="s">
        <v>135</v>
      </c>
      <c r="DW310" t="s">
        <v>135</v>
      </c>
      <c r="DX310">
        <v>1</v>
      </c>
      <c r="DZ310" t="s">
        <v>6</v>
      </c>
      <c r="EA310" t="s">
        <v>6</v>
      </c>
      <c r="EB310" t="s">
        <v>6</v>
      </c>
      <c r="EC310" t="s">
        <v>6</v>
      </c>
      <c r="EE310">
        <v>40604762</v>
      </c>
      <c r="EF310">
        <v>8</v>
      </c>
      <c r="EG310" t="s">
        <v>129</v>
      </c>
      <c r="EH310">
        <v>0</v>
      </c>
      <c r="EI310" t="s">
        <v>6</v>
      </c>
      <c r="EJ310">
        <v>1</v>
      </c>
      <c r="EK310">
        <v>1100</v>
      </c>
      <c r="EL310" t="s">
        <v>130</v>
      </c>
      <c r="EM310" t="s">
        <v>131</v>
      </c>
      <c r="EO310" t="s">
        <v>6</v>
      </c>
      <c r="EQ310">
        <v>0</v>
      </c>
      <c r="ER310">
        <v>70</v>
      </c>
      <c r="ES310">
        <v>70</v>
      </c>
      <c r="ET310">
        <v>0</v>
      </c>
      <c r="EU310">
        <v>0</v>
      </c>
      <c r="EV310">
        <v>0</v>
      </c>
      <c r="EW310">
        <v>0</v>
      </c>
      <c r="EX310">
        <v>0</v>
      </c>
      <c r="EY310">
        <v>0</v>
      </c>
      <c r="FQ310">
        <v>0</v>
      </c>
      <c r="FR310">
        <f t="shared" si="165"/>
        <v>0</v>
      </c>
      <c r="FS310">
        <v>0</v>
      </c>
      <c r="FX310">
        <v>0</v>
      </c>
      <c r="FY310">
        <v>0</v>
      </c>
      <c r="GA310" t="s">
        <v>132</v>
      </c>
      <c r="GD310">
        <v>1</v>
      </c>
      <c r="GF310">
        <v>814147676</v>
      </c>
      <c r="GG310">
        <v>2</v>
      </c>
      <c r="GH310">
        <v>0</v>
      </c>
      <c r="GI310">
        <v>-2</v>
      </c>
      <c r="GJ310">
        <v>0</v>
      </c>
      <c r="GK310">
        <v>0</v>
      </c>
      <c r="GL310">
        <f t="shared" si="166"/>
        <v>0</v>
      </c>
      <c r="GM310">
        <f t="shared" si="167"/>
        <v>350</v>
      </c>
      <c r="GN310">
        <f t="shared" si="168"/>
        <v>350</v>
      </c>
      <c r="GO310">
        <f t="shared" si="169"/>
        <v>0</v>
      </c>
      <c r="GP310">
        <f t="shared" si="170"/>
        <v>0</v>
      </c>
      <c r="GR310">
        <v>0</v>
      </c>
      <c r="GS310">
        <v>4</v>
      </c>
      <c r="GT310">
        <v>0</v>
      </c>
      <c r="GU310" t="s">
        <v>6</v>
      </c>
      <c r="GV310">
        <f t="shared" si="171"/>
        <v>0</v>
      </c>
      <c r="GW310">
        <v>1</v>
      </c>
      <c r="GX310">
        <f t="shared" si="172"/>
        <v>0</v>
      </c>
      <c r="HA310">
        <v>0</v>
      </c>
      <c r="HB310">
        <v>0</v>
      </c>
      <c r="HC310">
        <f t="shared" si="173"/>
        <v>0</v>
      </c>
      <c r="HE310" t="s">
        <v>6</v>
      </c>
      <c r="HF310" t="s">
        <v>6</v>
      </c>
      <c r="HM310" t="s">
        <v>6</v>
      </c>
      <c r="HN310" t="s">
        <v>6</v>
      </c>
      <c r="HO310" t="s">
        <v>6</v>
      </c>
      <c r="HP310" t="s">
        <v>6</v>
      </c>
      <c r="HQ310" t="s">
        <v>6</v>
      </c>
      <c r="IK310">
        <v>0</v>
      </c>
    </row>
    <row r="312" spans="1:245">
      <c r="A312" s="2">
        <v>51</v>
      </c>
      <c r="B312" s="2">
        <f>B298</f>
        <v>1</v>
      </c>
      <c r="C312" s="2">
        <f>A298</f>
        <v>4</v>
      </c>
      <c r="D312" s="2">
        <f>ROW(A298)</f>
        <v>298</v>
      </c>
      <c r="E312" s="2"/>
      <c r="F312" s="2" t="str">
        <f>IF(F298&lt;&gt;"",F298,"")</f>
        <v>Новый раздел</v>
      </c>
      <c r="G312" s="2" t="str">
        <f>IF(G298&lt;&gt;"",G298,"")</f>
        <v>Материалы, не учтенные ценником</v>
      </c>
      <c r="H312" s="2">
        <v>0</v>
      </c>
      <c r="I312" s="2"/>
      <c r="J312" s="2"/>
      <c r="K312" s="2"/>
      <c r="L312" s="2"/>
      <c r="M312" s="2"/>
      <c r="N312" s="2"/>
      <c r="O312" s="2">
        <f t="shared" ref="O312:T312" si="174">ROUND(AB312,2)</f>
        <v>192126.6</v>
      </c>
      <c r="P312" s="2">
        <f t="shared" si="174"/>
        <v>192126.6</v>
      </c>
      <c r="Q312" s="2">
        <f t="shared" si="174"/>
        <v>0</v>
      </c>
      <c r="R312" s="2">
        <f t="shared" si="174"/>
        <v>0</v>
      </c>
      <c r="S312" s="2">
        <f t="shared" si="174"/>
        <v>0</v>
      </c>
      <c r="T312" s="2">
        <f t="shared" si="174"/>
        <v>0</v>
      </c>
      <c r="U312" s="2">
        <f>AH312</f>
        <v>0</v>
      </c>
      <c r="V312" s="2">
        <f>AI312</f>
        <v>0</v>
      </c>
      <c r="W312" s="2">
        <f>ROUND(AJ312,2)</f>
        <v>0</v>
      </c>
      <c r="X312" s="2">
        <f>ROUND(AK312,2)</f>
        <v>0</v>
      </c>
      <c r="Y312" s="2">
        <f>ROUND(AL312,2)</f>
        <v>0</v>
      </c>
      <c r="Z312" s="2"/>
      <c r="AA312" s="2"/>
      <c r="AB312" s="2">
        <f>ROUND(SUMIF(AA302:AA310,"=41853493",O302:O310),2)</f>
        <v>192126.6</v>
      </c>
      <c r="AC312" s="2">
        <f>ROUND(SUMIF(AA302:AA310,"=41853493",P302:P310),2)</f>
        <v>192126.6</v>
      </c>
      <c r="AD312" s="2">
        <f>ROUND(SUMIF(AA302:AA310,"=41853493",Q302:Q310),2)</f>
        <v>0</v>
      </c>
      <c r="AE312" s="2">
        <f>ROUND(SUMIF(AA302:AA310,"=41853493",R302:R310),2)</f>
        <v>0</v>
      </c>
      <c r="AF312" s="2">
        <f>ROUND(SUMIF(AA302:AA310,"=41853493",S302:S310),2)</f>
        <v>0</v>
      </c>
      <c r="AG312" s="2">
        <f>ROUND(SUMIF(AA302:AA310,"=41853493",T302:T310),2)</f>
        <v>0</v>
      </c>
      <c r="AH312" s="2">
        <f>SUMIF(AA302:AA310,"=41853493",U302:U310)</f>
        <v>0</v>
      </c>
      <c r="AI312" s="2">
        <f>SUMIF(AA302:AA310,"=41853493",V302:V310)</f>
        <v>0</v>
      </c>
      <c r="AJ312" s="2">
        <f>ROUND(SUMIF(AA302:AA310,"=41853493",W302:W310),2)</f>
        <v>0</v>
      </c>
      <c r="AK312" s="2">
        <f>ROUND(SUMIF(AA302:AA310,"=41853493",X302:X310),2)</f>
        <v>0</v>
      </c>
      <c r="AL312" s="2">
        <f>ROUND(SUMIF(AA302:AA310,"=41853493",Y302:Y310),2)</f>
        <v>0</v>
      </c>
      <c r="AM312" s="2"/>
      <c r="AN312" s="2"/>
      <c r="AO312" s="2">
        <f t="shared" ref="AO312:BD312" si="175">ROUND(BX312,2)</f>
        <v>0</v>
      </c>
      <c r="AP312" s="2">
        <f t="shared" si="175"/>
        <v>0</v>
      </c>
      <c r="AQ312" s="2">
        <f t="shared" si="175"/>
        <v>0</v>
      </c>
      <c r="AR312" s="2">
        <f t="shared" si="175"/>
        <v>192126.6</v>
      </c>
      <c r="AS312" s="2">
        <f t="shared" si="175"/>
        <v>192126.6</v>
      </c>
      <c r="AT312" s="2">
        <f t="shared" si="175"/>
        <v>0</v>
      </c>
      <c r="AU312" s="2">
        <f t="shared" si="175"/>
        <v>0</v>
      </c>
      <c r="AV312" s="2">
        <f t="shared" si="175"/>
        <v>192126.6</v>
      </c>
      <c r="AW312" s="2">
        <f t="shared" si="175"/>
        <v>192126.6</v>
      </c>
      <c r="AX312" s="2">
        <f t="shared" si="175"/>
        <v>0</v>
      </c>
      <c r="AY312" s="2">
        <f t="shared" si="175"/>
        <v>192126.6</v>
      </c>
      <c r="AZ312" s="2">
        <f t="shared" si="175"/>
        <v>0</v>
      </c>
      <c r="BA312" s="2">
        <f t="shared" si="175"/>
        <v>0</v>
      </c>
      <c r="BB312" s="2">
        <f t="shared" si="175"/>
        <v>0</v>
      </c>
      <c r="BC312" s="2">
        <f t="shared" si="175"/>
        <v>0</v>
      </c>
      <c r="BD312" s="2">
        <f t="shared" si="175"/>
        <v>0</v>
      </c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>
        <f>ROUND(SUMIF(AA302:AA310,"=41853493",FQ302:FQ310),2)</f>
        <v>0</v>
      </c>
      <c r="BY312" s="2">
        <f>ROUND(SUMIF(AA302:AA310,"=41853493",FR302:FR310),2)</f>
        <v>0</v>
      </c>
      <c r="BZ312" s="2">
        <f>ROUND(SUMIF(AA302:AA310,"=41853493",GL302:GL310),2)</f>
        <v>0</v>
      </c>
      <c r="CA312" s="2">
        <f>ROUND(SUMIF(AA302:AA310,"=41853493",GM302:GM310),2)</f>
        <v>192126.6</v>
      </c>
      <c r="CB312" s="2">
        <f>ROUND(SUMIF(AA302:AA310,"=41853493",GN302:GN310),2)</f>
        <v>192126.6</v>
      </c>
      <c r="CC312" s="2">
        <f>ROUND(SUMIF(AA302:AA310,"=41853493",GO302:GO310),2)</f>
        <v>0</v>
      </c>
      <c r="CD312" s="2">
        <f>ROUND(SUMIF(AA302:AA310,"=41853493",GP302:GP310),2)</f>
        <v>0</v>
      </c>
      <c r="CE312" s="2">
        <f>AC312-BX312</f>
        <v>192126.6</v>
      </c>
      <c r="CF312" s="2">
        <f>AC312-BY312</f>
        <v>192126.6</v>
      </c>
      <c r="CG312" s="2">
        <f>BX312-BZ312</f>
        <v>0</v>
      </c>
      <c r="CH312" s="2">
        <f>AC312-BX312-BY312+BZ312</f>
        <v>192126.6</v>
      </c>
      <c r="CI312" s="2">
        <f>BY312-BZ312</f>
        <v>0</v>
      </c>
      <c r="CJ312" s="2">
        <f>ROUND(SUMIF(AA302:AA310,"=41853493",GX302:GX310),2)</f>
        <v>0</v>
      </c>
      <c r="CK312" s="2">
        <f>ROUND(SUMIF(AA302:AA310,"=41853493",GY302:GY310),2)</f>
        <v>0</v>
      </c>
      <c r="CL312" s="2">
        <f>ROUND(SUMIF(AA302:AA310,"=41853493",GZ302:GZ310),2)</f>
        <v>0</v>
      </c>
      <c r="CM312" s="2">
        <f>ROUND(SUMIF(AA302:AA310,"=41853493",HD302:HD310),2)</f>
        <v>0</v>
      </c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3"/>
      <c r="DH312" s="3"/>
      <c r="DI312" s="3"/>
      <c r="DJ312" s="3"/>
      <c r="DK312" s="3"/>
      <c r="DL312" s="3"/>
      <c r="DM312" s="3"/>
      <c r="DN312" s="3"/>
      <c r="DO312" s="3"/>
      <c r="DP312" s="3"/>
      <c r="DQ312" s="3"/>
      <c r="DR312" s="3"/>
      <c r="DS312" s="3"/>
      <c r="DT312" s="3"/>
      <c r="DU312" s="3"/>
      <c r="DV312" s="3"/>
      <c r="DW312" s="3"/>
      <c r="DX312" s="3"/>
      <c r="DY312" s="3"/>
      <c r="DZ312" s="3"/>
      <c r="EA312" s="3"/>
      <c r="EB312" s="3"/>
      <c r="EC312" s="3"/>
      <c r="ED312" s="3"/>
      <c r="EE312" s="3"/>
      <c r="EF312" s="3"/>
      <c r="EG312" s="3"/>
      <c r="EH312" s="3"/>
      <c r="EI312" s="3"/>
      <c r="EJ312" s="3"/>
      <c r="EK312" s="3"/>
      <c r="EL312" s="3"/>
      <c r="EM312" s="3"/>
      <c r="EN312" s="3"/>
      <c r="EO312" s="3"/>
      <c r="EP312" s="3"/>
      <c r="EQ312" s="3"/>
      <c r="ER312" s="3"/>
      <c r="ES312" s="3"/>
      <c r="ET312" s="3"/>
      <c r="EU312" s="3"/>
      <c r="EV312" s="3"/>
      <c r="EW312" s="3"/>
      <c r="EX312" s="3"/>
      <c r="EY312" s="3"/>
      <c r="EZ312" s="3"/>
      <c r="FA312" s="3"/>
      <c r="FB312" s="3"/>
      <c r="FC312" s="3"/>
      <c r="FD312" s="3"/>
      <c r="FE312" s="3"/>
      <c r="FF312" s="3"/>
      <c r="FG312" s="3"/>
      <c r="FH312" s="3"/>
      <c r="FI312" s="3"/>
      <c r="FJ312" s="3"/>
      <c r="FK312" s="3"/>
      <c r="FL312" s="3"/>
      <c r="FM312" s="3"/>
      <c r="FN312" s="3"/>
      <c r="FO312" s="3"/>
      <c r="FP312" s="3"/>
      <c r="FQ312" s="3"/>
      <c r="FR312" s="3"/>
      <c r="FS312" s="3"/>
      <c r="FT312" s="3"/>
      <c r="FU312" s="3"/>
      <c r="FV312" s="3"/>
      <c r="FW312" s="3"/>
      <c r="FX312" s="3"/>
      <c r="FY312" s="3"/>
      <c r="FZ312" s="3"/>
      <c r="GA312" s="3"/>
      <c r="GB312" s="3"/>
      <c r="GC312" s="3"/>
      <c r="GD312" s="3"/>
      <c r="GE312" s="3"/>
      <c r="GF312" s="3"/>
      <c r="GG312" s="3"/>
      <c r="GH312" s="3"/>
      <c r="GI312" s="3"/>
      <c r="GJ312" s="3"/>
      <c r="GK312" s="3"/>
      <c r="GL312" s="3"/>
      <c r="GM312" s="3"/>
      <c r="GN312" s="3"/>
      <c r="GO312" s="3"/>
      <c r="GP312" s="3"/>
      <c r="GQ312" s="3"/>
      <c r="GR312" s="3"/>
      <c r="GS312" s="3"/>
      <c r="GT312" s="3"/>
      <c r="GU312" s="3"/>
      <c r="GV312" s="3"/>
      <c r="GW312" s="3"/>
      <c r="GX312" s="3">
        <v>0</v>
      </c>
    </row>
    <row r="314" spans="1:245">
      <c r="A314" s="4">
        <v>50</v>
      </c>
      <c r="B314" s="4">
        <v>1</v>
      </c>
      <c r="C314" s="4">
        <v>0</v>
      </c>
      <c r="D314" s="4">
        <v>1</v>
      </c>
      <c r="E314" s="4">
        <v>201</v>
      </c>
      <c r="F314" s="4">
        <f>ROUND(Source!O312,O314)</f>
        <v>192126.6</v>
      </c>
      <c r="G314" s="4" t="s">
        <v>47</v>
      </c>
      <c r="H314" s="4" t="s">
        <v>48</v>
      </c>
      <c r="I314" s="4"/>
      <c r="J314" s="4"/>
      <c r="K314" s="4">
        <v>201</v>
      </c>
      <c r="L314" s="4">
        <v>1</v>
      </c>
      <c r="M314" s="4">
        <v>1</v>
      </c>
      <c r="N314" s="4" t="s">
        <v>6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192126.6</v>
      </c>
      <c r="X314" s="4">
        <v>1</v>
      </c>
      <c r="Y314" s="4">
        <v>192126.6</v>
      </c>
      <c r="Z314" s="4"/>
      <c r="AA314" s="4"/>
      <c r="AB314" s="4"/>
    </row>
    <row r="315" spans="1:245">
      <c r="A315" s="4">
        <v>50</v>
      </c>
      <c r="B315" s="4">
        <v>1</v>
      </c>
      <c r="C315" s="4">
        <v>0</v>
      </c>
      <c r="D315" s="4">
        <v>1</v>
      </c>
      <c r="E315" s="4">
        <v>202</v>
      </c>
      <c r="F315" s="4">
        <f>ROUND(Source!P312,O315)</f>
        <v>192126.6</v>
      </c>
      <c r="G315" s="4" t="s">
        <v>49</v>
      </c>
      <c r="H315" s="4" t="s">
        <v>50</v>
      </c>
      <c r="I315" s="4"/>
      <c r="J315" s="4"/>
      <c r="K315" s="4">
        <v>202</v>
      </c>
      <c r="L315" s="4">
        <v>2</v>
      </c>
      <c r="M315" s="4">
        <v>1</v>
      </c>
      <c r="N315" s="4" t="s">
        <v>6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192126.6</v>
      </c>
      <c r="X315" s="4">
        <v>1</v>
      </c>
      <c r="Y315" s="4">
        <v>192126.6</v>
      </c>
      <c r="Z315" s="4"/>
      <c r="AA315" s="4"/>
      <c r="AB315" s="4"/>
    </row>
    <row r="316" spans="1:245">
      <c r="A316" s="4">
        <v>50</v>
      </c>
      <c r="B316" s="4">
        <v>0</v>
      </c>
      <c r="C316" s="4">
        <v>0</v>
      </c>
      <c r="D316" s="4">
        <v>1</v>
      </c>
      <c r="E316" s="4">
        <v>222</v>
      </c>
      <c r="F316" s="4">
        <f>ROUND(Source!AO312,O316)</f>
        <v>0</v>
      </c>
      <c r="G316" s="4" t="s">
        <v>51</v>
      </c>
      <c r="H316" s="4" t="s">
        <v>52</v>
      </c>
      <c r="I316" s="4"/>
      <c r="J316" s="4"/>
      <c r="K316" s="4">
        <v>222</v>
      </c>
      <c r="L316" s="4">
        <v>3</v>
      </c>
      <c r="M316" s="4">
        <v>3</v>
      </c>
      <c r="N316" s="4" t="s">
        <v>6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>
      <c r="A317" s="4">
        <v>50</v>
      </c>
      <c r="B317" s="4">
        <v>0</v>
      </c>
      <c r="C317" s="4">
        <v>0</v>
      </c>
      <c r="D317" s="4">
        <v>1</v>
      </c>
      <c r="E317" s="4">
        <v>225</v>
      </c>
      <c r="F317" s="4">
        <f>ROUND(Source!AV312,O317)</f>
        <v>192126.6</v>
      </c>
      <c r="G317" s="4" t="s">
        <v>53</v>
      </c>
      <c r="H317" s="4" t="s">
        <v>54</v>
      </c>
      <c r="I317" s="4"/>
      <c r="J317" s="4"/>
      <c r="K317" s="4">
        <v>225</v>
      </c>
      <c r="L317" s="4">
        <v>4</v>
      </c>
      <c r="M317" s="4">
        <v>3</v>
      </c>
      <c r="N317" s="4" t="s">
        <v>6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192126.6</v>
      </c>
      <c r="X317" s="4">
        <v>1</v>
      </c>
      <c r="Y317" s="4">
        <v>192126.6</v>
      </c>
      <c r="Z317" s="4"/>
      <c r="AA317" s="4"/>
      <c r="AB317" s="4"/>
    </row>
    <row r="318" spans="1:245">
      <c r="A318" s="4">
        <v>50</v>
      </c>
      <c r="B318" s="4">
        <v>0</v>
      </c>
      <c r="C318" s="4">
        <v>0</v>
      </c>
      <c r="D318" s="4">
        <v>1</v>
      </c>
      <c r="E318" s="4">
        <v>226</v>
      </c>
      <c r="F318" s="4">
        <f>ROUND(Source!AW312,O318)</f>
        <v>192126.6</v>
      </c>
      <c r="G318" s="4" t="s">
        <v>55</v>
      </c>
      <c r="H318" s="4" t="s">
        <v>56</v>
      </c>
      <c r="I318" s="4"/>
      <c r="J318" s="4"/>
      <c r="K318" s="4">
        <v>226</v>
      </c>
      <c r="L318" s="4">
        <v>5</v>
      </c>
      <c r="M318" s="4">
        <v>3</v>
      </c>
      <c r="N318" s="4" t="s">
        <v>6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192126.6</v>
      </c>
      <c r="X318" s="4">
        <v>1</v>
      </c>
      <c r="Y318" s="4">
        <v>192126.6</v>
      </c>
      <c r="Z318" s="4"/>
      <c r="AA318" s="4"/>
      <c r="AB318" s="4"/>
    </row>
    <row r="319" spans="1:245">
      <c r="A319" s="4">
        <v>50</v>
      </c>
      <c r="B319" s="4">
        <v>0</v>
      </c>
      <c r="C319" s="4">
        <v>0</v>
      </c>
      <c r="D319" s="4">
        <v>1</v>
      </c>
      <c r="E319" s="4">
        <v>227</v>
      </c>
      <c r="F319" s="4">
        <f>ROUND(Source!AX312,O319)</f>
        <v>0</v>
      </c>
      <c r="G319" s="4" t="s">
        <v>57</v>
      </c>
      <c r="H319" s="4" t="s">
        <v>58</v>
      </c>
      <c r="I319" s="4"/>
      <c r="J319" s="4"/>
      <c r="K319" s="4">
        <v>227</v>
      </c>
      <c r="L319" s="4">
        <v>6</v>
      </c>
      <c r="M319" s="4">
        <v>3</v>
      </c>
      <c r="N319" s="4" t="s">
        <v>6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>
      <c r="A320" s="4">
        <v>50</v>
      </c>
      <c r="B320" s="4">
        <v>0</v>
      </c>
      <c r="C320" s="4">
        <v>0</v>
      </c>
      <c r="D320" s="4">
        <v>1</v>
      </c>
      <c r="E320" s="4">
        <v>228</v>
      </c>
      <c r="F320" s="4">
        <f>ROUND(Source!AY312,O320)</f>
        <v>192126.6</v>
      </c>
      <c r="G320" s="4" t="s">
        <v>59</v>
      </c>
      <c r="H320" s="4" t="s">
        <v>60</v>
      </c>
      <c r="I320" s="4"/>
      <c r="J320" s="4"/>
      <c r="K320" s="4">
        <v>228</v>
      </c>
      <c r="L320" s="4">
        <v>7</v>
      </c>
      <c r="M320" s="4">
        <v>3</v>
      </c>
      <c r="N320" s="4" t="s">
        <v>6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192126.6</v>
      </c>
      <c r="X320" s="4">
        <v>1</v>
      </c>
      <c r="Y320" s="4">
        <v>192126.6</v>
      </c>
      <c r="Z320" s="4"/>
      <c r="AA320" s="4"/>
      <c r="AB320" s="4"/>
    </row>
    <row r="321" spans="1:28">
      <c r="A321" s="4">
        <v>50</v>
      </c>
      <c r="B321" s="4">
        <v>0</v>
      </c>
      <c r="C321" s="4">
        <v>0</v>
      </c>
      <c r="D321" s="4">
        <v>1</v>
      </c>
      <c r="E321" s="4">
        <v>216</v>
      </c>
      <c r="F321" s="4">
        <f>ROUND(Source!AP312,O321)</f>
        <v>0</v>
      </c>
      <c r="G321" s="4" t="s">
        <v>61</v>
      </c>
      <c r="H321" s="4" t="s">
        <v>62</v>
      </c>
      <c r="I321" s="4"/>
      <c r="J321" s="4"/>
      <c r="K321" s="4">
        <v>216</v>
      </c>
      <c r="L321" s="4">
        <v>8</v>
      </c>
      <c r="M321" s="4">
        <v>3</v>
      </c>
      <c r="N321" s="4" t="s">
        <v>6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>
      <c r="A322" s="4">
        <v>50</v>
      </c>
      <c r="B322" s="4">
        <v>0</v>
      </c>
      <c r="C322" s="4">
        <v>0</v>
      </c>
      <c r="D322" s="4">
        <v>1</v>
      </c>
      <c r="E322" s="4">
        <v>223</v>
      </c>
      <c r="F322" s="4">
        <f>ROUND(Source!AQ312,O322)</f>
        <v>0</v>
      </c>
      <c r="G322" s="4" t="s">
        <v>63</v>
      </c>
      <c r="H322" s="4" t="s">
        <v>64</v>
      </c>
      <c r="I322" s="4"/>
      <c r="J322" s="4"/>
      <c r="K322" s="4">
        <v>223</v>
      </c>
      <c r="L322" s="4">
        <v>9</v>
      </c>
      <c r="M322" s="4">
        <v>3</v>
      </c>
      <c r="N322" s="4" t="s">
        <v>6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>
      <c r="A323" s="4">
        <v>50</v>
      </c>
      <c r="B323" s="4">
        <v>0</v>
      </c>
      <c r="C323" s="4">
        <v>0</v>
      </c>
      <c r="D323" s="4">
        <v>1</v>
      </c>
      <c r="E323" s="4">
        <v>229</v>
      </c>
      <c r="F323" s="4">
        <f>ROUND(Source!AZ312,O323)</f>
        <v>0</v>
      </c>
      <c r="G323" s="4" t="s">
        <v>65</v>
      </c>
      <c r="H323" s="4" t="s">
        <v>66</v>
      </c>
      <c r="I323" s="4"/>
      <c r="J323" s="4"/>
      <c r="K323" s="4">
        <v>229</v>
      </c>
      <c r="L323" s="4">
        <v>10</v>
      </c>
      <c r="M323" s="4">
        <v>3</v>
      </c>
      <c r="N323" s="4" t="s">
        <v>6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>
      <c r="A324" s="4">
        <v>50</v>
      </c>
      <c r="B324" s="4">
        <v>0</v>
      </c>
      <c r="C324" s="4">
        <v>0</v>
      </c>
      <c r="D324" s="4">
        <v>1</v>
      </c>
      <c r="E324" s="4">
        <v>203</v>
      </c>
      <c r="F324" s="4">
        <f>ROUND(Source!Q312,O324)</f>
        <v>0</v>
      </c>
      <c r="G324" s="4" t="s">
        <v>67</v>
      </c>
      <c r="H324" s="4" t="s">
        <v>68</v>
      </c>
      <c r="I324" s="4"/>
      <c r="J324" s="4"/>
      <c r="K324" s="4">
        <v>203</v>
      </c>
      <c r="L324" s="4">
        <v>11</v>
      </c>
      <c r="M324" s="4">
        <v>1</v>
      </c>
      <c r="N324" s="4" t="s">
        <v>6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>
      <c r="A325" s="4">
        <v>50</v>
      </c>
      <c r="B325" s="4">
        <v>0</v>
      </c>
      <c r="C325" s="4">
        <v>0</v>
      </c>
      <c r="D325" s="4">
        <v>1</v>
      </c>
      <c r="E325" s="4">
        <v>231</v>
      </c>
      <c r="F325" s="4">
        <f>ROUND(Source!BB312,O325)</f>
        <v>0</v>
      </c>
      <c r="G325" s="4" t="s">
        <v>69</v>
      </c>
      <c r="H325" s="4" t="s">
        <v>70</v>
      </c>
      <c r="I325" s="4"/>
      <c r="J325" s="4"/>
      <c r="K325" s="4">
        <v>231</v>
      </c>
      <c r="L325" s="4">
        <v>12</v>
      </c>
      <c r="M325" s="4">
        <v>3</v>
      </c>
      <c r="N325" s="4" t="s">
        <v>6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>
      <c r="A326" s="4">
        <v>50</v>
      </c>
      <c r="B326" s="4">
        <v>0</v>
      </c>
      <c r="C326" s="4">
        <v>0</v>
      </c>
      <c r="D326" s="4">
        <v>1</v>
      </c>
      <c r="E326" s="4">
        <v>204</v>
      </c>
      <c r="F326" s="4">
        <f>ROUND(Source!R312,O326)</f>
        <v>0</v>
      </c>
      <c r="G326" s="4" t="s">
        <v>71</v>
      </c>
      <c r="H326" s="4" t="s">
        <v>72</v>
      </c>
      <c r="I326" s="4"/>
      <c r="J326" s="4"/>
      <c r="K326" s="4">
        <v>204</v>
      </c>
      <c r="L326" s="4">
        <v>13</v>
      </c>
      <c r="M326" s="4">
        <v>1</v>
      </c>
      <c r="N326" s="4" t="s">
        <v>6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>
      <c r="A327" s="4">
        <v>50</v>
      </c>
      <c r="B327" s="4">
        <v>0</v>
      </c>
      <c r="C327" s="4">
        <v>0</v>
      </c>
      <c r="D327" s="4">
        <v>1</v>
      </c>
      <c r="E327" s="4">
        <v>205</v>
      </c>
      <c r="F327" s="4">
        <f>ROUND(Source!S312,O327)</f>
        <v>0</v>
      </c>
      <c r="G327" s="4" t="s">
        <v>73</v>
      </c>
      <c r="H327" s="4" t="s">
        <v>74</v>
      </c>
      <c r="I327" s="4"/>
      <c r="J327" s="4"/>
      <c r="K327" s="4">
        <v>205</v>
      </c>
      <c r="L327" s="4">
        <v>14</v>
      </c>
      <c r="M327" s="4">
        <v>1</v>
      </c>
      <c r="N327" s="4" t="s">
        <v>6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>
      <c r="A328" s="4">
        <v>50</v>
      </c>
      <c r="B328" s="4">
        <v>0</v>
      </c>
      <c r="C328" s="4">
        <v>0</v>
      </c>
      <c r="D328" s="4">
        <v>1</v>
      </c>
      <c r="E328" s="4">
        <v>232</v>
      </c>
      <c r="F328" s="4">
        <f>ROUND(Source!BC312,O328)</f>
        <v>0</v>
      </c>
      <c r="G328" s="4" t="s">
        <v>75</v>
      </c>
      <c r="H328" s="4" t="s">
        <v>76</v>
      </c>
      <c r="I328" s="4"/>
      <c r="J328" s="4"/>
      <c r="K328" s="4">
        <v>232</v>
      </c>
      <c r="L328" s="4">
        <v>15</v>
      </c>
      <c r="M328" s="4">
        <v>3</v>
      </c>
      <c r="N328" s="4" t="s">
        <v>6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>
      <c r="A329" s="4">
        <v>50</v>
      </c>
      <c r="B329" s="4">
        <v>0</v>
      </c>
      <c r="C329" s="4">
        <v>0</v>
      </c>
      <c r="D329" s="4">
        <v>1</v>
      </c>
      <c r="E329" s="4">
        <v>214</v>
      </c>
      <c r="F329" s="4">
        <f>ROUND(Source!AS312,O329)</f>
        <v>192126.6</v>
      </c>
      <c r="G329" s="4" t="s">
        <v>77</v>
      </c>
      <c r="H329" s="4" t="s">
        <v>78</v>
      </c>
      <c r="I329" s="4"/>
      <c r="J329" s="4"/>
      <c r="K329" s="4">
        <v>214</v>
      </c>
      <c r="L329" s="4">
        <v>16</v>
      </c>
      <c r="M329" s="4">
        <v>3</v>
      </c>
      <c r="N329" s="4" t="s">
        <v>6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192126.6</v>
      </c>
      <c r="X329" s="4">
        <v>1</v>
      </c>
      <c r="Y329" s="4">
        <v>192126.6</v>
      </c>
      <c r="Z329" s="4"/>
      <c r="AA329" s="4"/>
      <c r="AB329" s="4"/>
    </row>
    <row r="330" spans="1:28">
      <c r="A330" s="4">
        <v>50</v>
      </c>
      <c r="B330" s="4">
        <v>0</v>
      </c>
      <c r="C330" s="4">
        <v>0</v>
      </c>
      <c r="D330" s="4">
        <v>1</v>
      </c>
      <c r="E330" s="4">
        <v>215</v>
      </c>
      <c r="F330" s="4">
        <f>ROUND(Source!AT312,O330)</f>
        <v>0</v>
      </c>
      <c r="G330" s="4" t="s">
        <v>79</v>
      </c>
      <c r="H330" s="4" t="s">
        <v>80</v>
      </c>
      <c r="I330" s="4"/>
      <c r="J330" s="4"/>
      <c r="K330" s="4">
        <v>215</v>
      </c>
      <c r="L330" s="4">
        <v>17</v>
      </c>
      <c r="M330" s="4">
        <v>3</v>
      </c>
      <c r="N330" s="4" t="s">
        <v>6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>
      <c r="A331" s="4">
        <v>50</v>
      </c>
      <c r="B331" s="4">
        <v>0</v>
      </c>
      <c r="C331" s="4">
        <v>0</v>
      </c>
      <c r="D331" s="4">
        <v>1</v>
      </c>
      <c r="E331" s="4">
        <v>217</v>
      </c>
      <c r="F331" s="4">
        <f>ROUND(Source!AU312,O331)</f>
        <v>0</v>
      </c>
      <c r="G331" s="4" t="s">
        <v>81</v>
      </c>
      <c r="H331" s="4" t="s">
        <v>82</v>
      </c>
      <c r="I331" s="4"/>
      <c r="J331" s="4"/>
      <c r="K331" s="4">
        <v>217</v>
      </c>
      <c r="L331" s="4">
        <v>18</v>
      </c>
      <c r="M331" s="4">
        <v>3</v>
      </c>
      <c r="N331" s="4" t="s">
        <v>6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>
      <c r="A332" s="4">
        <v>50</v>
      </c>
      <c r="B332" s="4">
        <v>0</v>
      </c>
      <c r="C332" s="4">
        <v>0</v>
      </c>
      <c r="D332" s="4">
        <v>1</v>
      </c>
      <c r="E332" s="4">
        <v>230</v>
      </c>
      <c r="F332" s="4">
        <f>ROUND(Source!BA312,O332)</f>
        <v>0</v>
      </c>
      <c r="G332" s="4" t="s">
        <v>83</v>
      </c>
      <c r="H332" s="4" t="s">
        <v>84</v>
      </c>
      <c r="I332" s="4"/>
      <c r="J332" s="4"/>
      <c r="K332" s="4">
        <v>230</v>
      </c>
      <c r="L332" s="4">
        <v>19</v>
      </c>
      <c r="M332" s="4">
        <v>3</v>
      </c>
      <c r="N332" s="4" t="s">
        <v>6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>
      <c r="A333" s="4">
        <v>50</v>
      </c>
      <c r="B333" s="4">
        <v>0</v>
      </c>
      <c r="C333" s="4">
        <v>0</v>
      </c>
      <c r="D333" s="4">
        <v>1</v>
      </c>
      <c r="E333" s="4">
        <v>206</v>
      </c>
      <c r="F333" s="4">
        <f>ROUND(Source!T312,O333)</f>
        <v>0</v>
      </c>
      <c r="G333" s="4" t="s">
        <v>85</v>
      </c>
      <c r="H333" s="4" t="s">
        <v>86</v>
      </c>
      <c r="I333" s="4"/>
      <c r="J333" s="4"/>
      <c r="K333" s="4">
        <v>206</v>
      </c>
      <c r="L333" s="4">
        <v>20</v>
      </c>
      <c r="M333" s="4">
        <v>3</v>
      </c>
      <c r="N333" s="4" t="s">
        <v>6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>
      <c r="A334" s="4">
        <v>50</v>
      </c>
      <c r="B334" s="4">
        <v>0</v>
      </c>
      <c r="C334" s="4">
        <v>0</v>
      </c>
      <c r="D334" s="4">
        <v>1</v>
      </c>
      <c r="E334" s="4">
        <v>207</v>
      </c>
      <c r="F334" s="4">
        <f>Source!U312</f>
        <v>0</v>
      </c>
      <c r="G334" s="4" t="s">
        <v>87</v>
      </c>
      <c r="H334" s="4" t="s">
        <v>88</v>
      </c>
      <c r="I334" s="4"/>
      <c r="J334" s="4"/>
      <c r="K334" s="4">
        <v>207</v>
      </c>
      <c r="L334" s="4">
        <v>21</v>
      </c>
      <c r="M334" s="4">
        <v>3</v>
      </c>
      <c r="N334" s="4" t="s">
        <v>6</v>
      </c>
      <c r="O334" s="4">
        <v>-1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>
      <c r="A335" s="4">
        <v>50</v>
      </c>
      <c r="B335" s="4">
        <v>0</v>
      </c>
      <c r="C335" s="4">
        <v>0</v>
      </c>
      <c r="D335" s="4">
        <v>1</v>
      </c>
      <c r="E335" s="4">
        <v>208</v>
      </c>
      <c r="F335" s="4">
        <f>Source!V312</f>
        <v>0</v>
      </c>
      <c r="G335" s="4" t="s">
        <v>89</v>
      </c>
      <c r="H335" s="4" t="s">
        <v>90</v>
      </c>
      <c r="I335" s="4"/>
      <c r="J335" s="4"/>
      <c r="K335" s="4">
        <v>208</v>
      </c>
      <c r="L335" s="4">
        <v>22</v>
      </c>
      <c r="M335" s="4">
        <v>3</v>
      </c>
      <c r="N335" s="4" t="s">
        <v>6</v>
      </c>
      <c r="O335" s="4">
        <v>-1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>
      <c r="A336" s="4">
        <v>50</v>
      </c>
      <c r="B336" s="4">
        <v>0</v>
      </c>
      <c r="C336" s="4">
        <v>0</v>
      </c>
      <c r="D336" s="4">
        <v>1</v>
      </c>
      <c r="E336" s="4">
        <v>209</v>
      </c>
      <c r="F336" s="4">
        <f>ROUND(Source!W312,O336)</f>
        <v>0</v>
      </c>
      <c r="G336" s="4" t="s">
        <v>91</v>
      </c>
      <c r="H336" s="4" t="s">
        <v>92</v>
      </c>
      <c r="I336" s="4"/>
      <c r="J336" s="4"/>
      <c r="K336" s="4">
        <v>209</v>
      </c>
      <c r="L336" s="4">
        <v>23</v>
      </c>
      <c r="M336" s="4">
        <v>3</v>
      </c>
      <c r="N336" s="4" t="s">
        <v>6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8">
      <c r="A337" s="4">
        <v>50</v>
      </c>
      <c r="B337" s="4">
        <v>0</v>
      </c>
      <c r="C337" s="4">
        <v>0</v>
      </c>
      <c r="D337" s="4">
        <v>1</v>
      </c>
      <c r="E337" s="4">
        <v>233</v>
      </c>
      <c r="F337" s="4">
        <f>ROUND(Source!BD312,O337)</f>
        <v>0</v>
      </c>
      <c r="G337" s="4" t="s">
        <v>93</v>
      </c>
      <c r="H337" s="4" t="s">
        <v>94</v>
      </c>
      <c r="I337" s="4"/>
      <c r="J337" s="4"/>
      <c r="K337" s="4">
        <v>233</v>
      </c>
      <c r="L337" s="4">
        <v>24</v>
      </c>
      <c r="M337" s="4">
        <v>3</v>
      </c>
      <c r="N337" s="4" t="s">
        <v>6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>
      <c r="A338" s="4">
        <v>50</v>
      </c>
      <c r="B338" s="4">
        <v>0</v>
      </c>
      <c r="C338" s="4">
        <v>0</v>
      </c>
      <c r="D338" s="4">
        <v>1</v>
      </c>
      <c r="E338" s="4">
        <v>210</v>
      </c>
      <c r="F338" s="4">
        <f>ROUND(Source!X312,O338)</f>
        <v>0</v>
      </c>
      <c r="G338" s="4" t="s">
        <v>95</v>
      </c>
      <c r="H338" s="4" t="s">
        <v>96</v>
      </c>
      <c r="I338" s="4"/>
      <c r="J338" s="4"/>
      <c r="K338" s="4">
        <v>210</v>
      </c>
      <c r="L338" s="4">
        <v>25</v>
      </c>
      <c r="M338" s="4">
        <v>1</v>
      </c>
      <c r="N338" s="4" t="s">
        <v>6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>
      <c r="A339" s="4">
        <v>50</v>
      </c>
      <c r="B339" s="4">
        <v>0</v>
      </c>
      <c r="C339" s="4">
        <v>0</v>
      </c>
      <c r="D339" s="4">
        <v>1</v>
      </c>
      <c r="E339" s="4">
        <v>211</v>
      </c>
      <c r="F339" s="4">
        <f>ROUND(Source!Y312,O339)</f>
        <v>0</v>
      </c>
      <c r="G339" s="4" t="s">
        <v>97</v>
      </c>
      <c r="H339" s="4" t="s">
        <v>98</v>
      </c>
      <c r="I339" s="4"/>
      <c r="J339" s="4"/>
      <c r="K339" s="4">
        <v>211</v>
      </c>
      <c r="L339" s="4">
        <v>26</v>
      </c>
      <c r="M339" s="4">
        <v>1</v>
      </c>
      <c r="N339" s="4" t="s">
        <v>6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>
      <c r="A340" s="4">
        <v>50</v>
      </c>
      <c r="B340" s="4">
        <v>1</v>
      </c>
      <c r="C340" s="4">
        <v>0</v>
      </c>
      <c r="D340" s="4">
        <v>1</v>
      </c>
      <c r="E340" s="4">
        <v>224</v>
      </c>
      <c r="F340" s="4">
        <f>ROUND(Source!AR312,O340)</f>
        <v>192126.6</v>
      </c>
      <c r="G340" s="4" t="s">
        <v>99</v>
      </c>
      <c r="H340" s="4" t="s">
        <v>100</v>
      </c>
      <c r="I340" s="4"/>
      <c r="J340" s="4"/>
      <c r="K340" s="4">
        <v>224</v>
      </c>
      <c r="L340" s="4">
        <v>27</v>
      </c>
      <c r="M340" s="4">
        <v>1</v>
      </c>
      <c r="N340" s="4" t="s">
        <v>6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192126.6</v>
      </c>
      <c r="X340" s="4">
        <v>1</v>
      </c>
      <c r="Y340" s="4">
        <v>192126.6</v>
      </c>
      <c r="Z340" s="4"/>
      <c r="AA340" s="4"/>
      <c r="AB340" s="4"/>
    </row>
    <row r="341" spans="1:28">
      <c r="A341" s="4">
        <v>50</v>
      </c>
      <c r="B341" s="4">
        <v>0</v>
      </c>
      <c r="C341" s="4">
        <v>0</v>
      </c>
      <c r="D341" s="4">
        <v>2</v>
      </c>
      <c r="E341" s="4">
        <v>0</v>
      </c>
      <c r="F341" s="4">
        <f>0</f>
        <v>0</v>
      </c>
      <c r="G341" s="4" t="s">
        <v>101</v>
      </c>
      <c r="H341" s="4" t="s">
        <v>102</v>
      </c>
      <c r="I341" s="4"/>
      <c r="J341" s="4"/>
      <c r="K341" s="4">
        <v>212</v>
      </c>
      <c r="L341" s="4">
        <v>28</v>
      </c>
      <c r="M341" s="4">
        <v>1</v>
      </c>
      <c r="N341" s="4" t="s">
        <v>6</v>
      </c>
      <c r="O341" s="4">
        <v>-1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>
      <c r="A342" s="4">
        <v>50</v>
      </c>
      <c r="B342" s="4">
        <v>0</v>
      </c>
      <c r="C342" s="4">
        <v>0</v>
      </c>
      <c r="D342" s="4">
        <v>2</v>
      </c>
      <c r="E342" s="4">
        <v>0</v>
      </c>
      <c r="F342" s="4">
        <f>ROUND(IF(F341=0,0,F340/100*F341),O342)</f>
        <v>0</v>
      </c>
      <c r="G342" s="4" t="s">
        <v>103</v>
      </c>
      <c r="H342" s="4" t="s">
        <v>104</v>
      </c>
      <c r="I342" s="4"/>
      <c r="J342" s="4"/>
      <c r="K342" s="4">
        <v>212</v>
      </c>
      <c r="L342" s="4">
        <v>29</v>
      </c>
      <c r="M342" s="4">
        <v>1</v>
      </c>
      <c r="N342" s="4" t="s">
        <v>6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8">
      <c r="A343" s="4">
        <v>50</v>
      </c>
      <c r="B343" s="4">
        <v>0</v>
      </c>
      <c r="C343" s="4">
        <v>0</v>
      </c>
      <c r="D343" s="4">
        <v>2</v>
      </c>
      <c r="E343" s="4">
        <v>0</v>
      </c>
      <c r="F343" s="4">
        <f>ROUND(IF(F341=0,0,F340+F342),O343)</f>
        <v>0</v>
      </c>
      <c r="G343" s="4" t="s">
        <v>105</v>
      </c>
      <c r="H343" s="4" t="s">
        <v>106</v>
      </c>
      <c r="I343" s="4"/>
      <c r="J343" s="4"/>
      <c r="K343" s="4">
        <v>212</v>
      </c>
      <c r="L343" s="4">
        <v>30</v>
      </c>
      <c r="M343" s="4">
        <v>1</v>
      </c>
      <c r="N343" s="4" t="s">
        <v>6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>
      <c r="A344" s="4">
        <v>50</v>
      </c>
      <c r="B344" s="4">
        <v>0</v>
      </c>
      <c r="C344" s="4">
        <v>0</v>
      </c>
      <c r="D344" s="4">
        <v>2</v>
      </c>
      <c r="E344" s="4">
        <v>0</v>
      </c>
      <c r="F344" s="4">
        <f>0</f>
        <v>0</v>
      </c>
      <c r="G344" s="4" t="s">
        <v>107</v>
      </c>
      <c r="H344" s="4" t="s">
        <v>108</v>
      </c>
      <c r="I344" s="4"/>
      <c r="J344" s="4"/>
      <c r="K344" s="4">
        <v>212</v>
      </c>
      <c r="L344" s="4">
        <v>31</v>
      </c>
      <c r="M344" s="4">
        <v>1</v>
      </c>
      <c r="N344" s="4" t="s">
        <v>6</v>
      </c>
      <c r="O344" s="4">
        <v>-1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>
      <c r="A345" s="4">
        <v>50</v>
      </c>
      <c r="B345" s="4">
        <v>0</v>
      </c>
      <c r="C345" s="4">
        <v>0</v>
      </c>
      <c r="D345" s="4">
        <v>2</v>
      </c>
      <c r="E345" s="4">
        <v>0</v>
      </c>
      <c r="F345" s="4">
        <f>ROUND(IF(F344=0,0,(F340+F342)/100*F344),O345)</f>
        <v>0</v>
      </c>
      <c r="G345" s="4" t="s">
        <v>109</v>
      </c>
      <c r="H345" s="4" t="s">
        <v>110</v>
      </c>
      <c r="I345" s="4"/>
      <c r="J345" s="4"/>
      <c r="K345" s="4">
        <v>212</v>
      </c>
      <c r="L345" s="4">
        <v>32</v>
      </c>
      <c r="M345" s="4">
        <v>1</v>
      </c>
      <c r="N345" s="4" t="s">
        <v>6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>
      <c r="A346" s="4">
        <v>50</v>
      </c>
      <c r="B346" s="4">
        <v>0</v>
      </c>
      <c r="C346" s="4">
        <v>0</v>
      </c>
      <c r="D346" s="4">
        <v>2</v>
      </c>
      <c r="E346" s="4">
        <v>0</v>
      </c>
      <c r="F346" s="4">
        <f>ROUND(IF(F345=0,0,F340+F342+F345),O346)</f>
        <v>0</v>
      </c>
      <c r="G346" s="4" t="s">
        <v>111</v>
      </c>
      <c r="H346" s="4" t="s">
        <v>112</v>
      </c>
      <c r="I346" s="4"/>
      <c r="J346" s="4"/>
      <c r="K346" s="4">
        <v>212</v>
      </c>
      <c r="L346" s="4">
        <v>33</v>
      </c>
      <c r="M346" s="4">
        <v>1</v>
      </c>
      <c r="N346" s="4" t="s">
        <v>6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>
      <c r="A347" s="4">
        <v>50</v>
      </c>
      <c r="B347" s="4">
        <v>0</v>
      </c>
      <c r="C347" s="4">
        <v>0</v>
      </c>
      <c r="D347" s="4">
        <v>2</v>
      </c>
      <c r="E347" s="4">
        <v>0</v>
      </c>
      <c r="F347" s="4">
        <f>0</f>
        <v>0</v>
      </c>
      <c r="G347" s="4" t="s">
        <v>113</v>
      </c>
      <c r="H347" s="4" t="s">
        <v>114</v>
      </c>
      <c r="I347" s="4"/>
      <c r="J347" s="4"/>
      <c r="K347" s="4">
        <v>212</v>
      </c>
      <c r="L347" s="4">
        <v>34</v>
      </c>
      <c r="M347" s="4">
        <v>1</v>
      </c>
      <c r="N347" s="4" t="s">
        <v>6</v>
      </c>
      <c r="O347" s="4">
        <v>-1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>
      <c r="A348" s="4">
        <v>50</v>
      </c>
      <c r="B348" s="4">
        <v>0</v>
      </c>
      <c r="C348" s="4">
        <v>0</v>
      </c>
      <c r="D348" s="4">
        <v>2</v>
      </c>
      <c r="E348" s="4">
        <v>0</v>
      </c>
      <c r="F348" s="4">
        <f>ROUND(IF(F347=0,0,(F340+F342+F345)/100*F347),O348)</f>
        <v>0</v>
      </c>
      <c r="G348" s="4" t="s">
        <v>115</v>
      </c>
      <c r="H348" s="4" t="s">
        <v>116</v>
      </c>
      <c r="I348" s="4"/>
      <c r="J348" s="4"/>
      <c r="K348" s="4">
        <v>212</v>
      </c>
      <c r="L348" s="4">
        <v>35</v>
      </c>
      <c r="M348" s="4">
        <v>1</v>
      </c>
      <c r="N348" s="4" t="s">
        <v>6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>
      <c r="A349" s="4">
        <v>50</v>
      </c>
      <c r="B349" s="4">
        <v>0</v>
      </c>
      <c r="C349" s="4">
        <v>0</v>
      </c>
      <c r="D349" s="4">
        <v>2</v>
      </c>
      <c r="E349" s="4">
        <v>0</v>
      </c>
      <c r="F349" s="4">
        <f>ROUND(IF(F348=0,0,F340+F342+F345+F348),O349)</f>
        <v>0</v>
      </c>
      <c r="G349" s="4" t="s">
        <v>117</v>
      </c>
      <c r="H349" s="4" t="s">
        <v>118</v>
      </c>
      <c r="I349" s="4"/>
      <c r="J349" s="4"/>
      <c r="K349" s="4">
        <v>212</v>
      </c>
      <c r="L349" s="4">
        <v>36</v>
      </c>
      <c r="M349" s="4">
        <v>1</v>
      </c>
      <c r="N349" s="4" t="s">
        <v>6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8">
      <c r="A350" s="4">
        <v>50</v>
      </c>
      <c r="B350" s="4">
        <v>0</v>
      </c>
      <c r="C350" s="4">
        <v>0</v>
      </c>
      <c r="D350" s="4">
        <v>2</v>
      </c>
      <c r="E350" s="4">
        <v>0</v>
      </c>
      <c r="F350" s="4">
        <f>ROUND(ROUND(F340+F342+F345+F348,2),O350)</f>
        <v>192126.6</v>
      </c>
      <c r="G350" s="4" t="s">
        <v>119</v>
      </c>
      <c r="H350" s="4" t="s">
        <v>120</v>
      </c>
      <c r="I350" s="4"/>
      <c r="J350" s="4"/>
      <c r="K350" s="4">
        <v>212</v>
      </c>
      <c r="L350" s="4">
        <v>37</v>
      </c>
      <c r="M350" s="4">
        <v>3</v>
      </c>
      <c r="N350" s="4" t="s">
        <v>6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192126.6</v>
      </c>
      <c r="X350" s="4">
        <v>1</v>
      </c>
      <c r="Y350" s="4">
        <v>192126.6</v>
      </c>
      <c r="Z350" s="4"/>
      <c r="AA350" s="4"/>
      <c r="AB350" s="4"/>
    </row>
    <row r="351" spans="1:28">
      <c r="A351" s="4">
        <v>50</v>
      </c>
      <c r="B351" s="4">
        <v>1</v>
      </c>
      <c r="C351" s="4">
        <v>0</v>
      </c>
      <c r="D351" s="4">
        <v>2</v>
      </c>
      <c r="E351" s="4">
        <v>0</v>
      </c>
      <c r="F351" s="4">
        <f>ROUND(ROUND(F350*0.2,2),O351)</f>
        <v>38425.32</v>
      </c>
      <c r="G351" s="4" t="s">
        <v>121</v>
      </c>
      <c r="H351" s="4" t="s">
        <v>122</v>
      </c>
      <c r="I351" s="4"/>
      <c r="J351" s="4"/>
      <c r="K351" s="4">
        <v>212</v>
      </c>
      <c r="L351" s="4">
        <v>38</v>
      </c>
      <c r="M351" s="4">
        <v>1</v>
      </c>
      <c r="N351" s="4" t="s">
        <v>6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38425.32</v>
      </c>
      <c r="X351" s="4">
        <v>1</v>
      </c>
      <c r="Y351" s="4">
        <v>38425.32</v>
      </c>
      <c r="Z351" s="4"/>
      <c r="AA351" s="4"/>
      <c r="AB351" s="4"/>
    </row>
    <row r="352" spans="1:28">
      <c r="A352" s="4">
        <v>50</v>
      </c>
      <c r="B352" s="4">
        <v>1</v>
      </c>
      <c r="C352" s="4">
        <v>0</v>
      </c>
      <c r="D352" s="4">
        <v>2</v>
      </c>
      <c r="E352" s="4">
        <v>213</v>
      </c>
      <c r="F352" s="4">
        <f>ROUND(ROUND(F350+F351,2),O352)</f>
        <v>230551.92</v>
      </c>
      <c r="G352" s="4" t="s">
        <v>123</v>
      </c>
      <c r="H352" s="4" t="s">
        <v>124</v>
      </c>
      <c r="I352" s="4"/>
      <c r="J352" s="4"/>
      <c r="K352" s="4">
        <v>212</v>
      </c>
      <c r="L352" s="4">
        <v>39</v>
      </c>
      <c r="M352" s="4">
        <v>1</v>
      </c>
      <c r="N352" s="4" t="s">
        <v>6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230551.92</v>
      </c>
      <c r="X352" s="4">
        <v>1</v>
      </c>
      <c r="Y352" s="4">
        <v>230551.92</v>
      </c>
      <c r="Z352" s="4"/>
      <c r="AA352" s="4"/>
      <c r="AB352" s="4"/>
    </row>
    <row r="354" spans="1:245">
      <c r="A354" s="1">
        <v>4</v>
      </c>
      <c r="B354" s="1">
        <v>1</v>
      </c>
      <c r="C354" s="1"/>
      <c r="D354" s="1">
        <f>ROW(A363)</f>
        <v>363</v>
      </c>
      <c r="E354" s="1"/>
      <c r="F354" s="1" t="s">
        <v>15</v>
      </c>
      <c r="G354" s="1" t="s">
        <v>225</v>
      </c>
      <c r="H354" s="1" t="s">
        <v>6</v>
      </c>
      <c r="I354" s="1">
        <v>0</v>
      </c>
      <c r="J354" s="1"/>
      <c r="K354" s="1">
        <v>0</v>
      </c>
      <c r="L354" s="1"/>
      <c r="M354" s="1" t="s">
        <v>6</v>
      </c>
      <c r="N354" s="1"/>
      <c r="O354" s="1"/>
      <c r="P354" s="1"/>
      <c r="Q354" s="1"/>
      <c r="R354" s="1"/>
      <c r="S354" s="1">
        <v>0</v>
      </c>
      <c r="T354" s="1"/>
      <c r="U354" s="1" t="s">
        <v>6</v>
      </c>
      <c r="V354" s="1">
        <v>0</v>
      </c>
      <c r="W354" s="1"/>
      <c r="X354" s="1"/>
      <c r="Y354" s="1"/>
      <c r="Z354" s="1"/>
      <c r="AA354" s="1"/>
      <c r="AB354" s="1" t="s">
        <v>6</v>
      </c>
      <c r="AC354" s="1" t="s">
        <v>6</v>
      </c>
      <c r="AD354" s="1" t="s">
        <v>6</v>
      </c>
      <c r="AE354" s="1" t="s">
        <v>6</v>
      </c>
      <c r="AF354" s="1" t="s">
        <v>6</v>
      </c>
      <c r="AG354" s="1" t="s">
        <v>6</v>
      </c>
      <c r="AH354" s="1"/>
      <c r="AI354" s="1"/>
      <c r="AJ354" s="1"/>
      <c r="AK354" s="1"/>
      <c r="AL354" s="1"/>
      <c r="AM354" s="1"/>
      <c r="AN354" s="1"/>
      <c r="AO354" s="1"/>
      <c r="AP354" s="1" t="s">
        <v>6</v>
      </c>
      <c r="AQ354" s="1" t="s">
        <v>6</v>
      </c>
      <c r="AR354" s="1" t="s">
        <v>6</v>
      </c>
      <c r="AS354" s="1"/>
      <c r="AT354" s="1"/>
      <c r="AU354" s="1"/>
      <c r="AV354" s="1"/>
      <c r="AW354" s="1"/>
      <c r="AX354" s="1"/>
      <c r="AY354" s="1"/>
      <c r="AZ354" s="1" t="s">
        <v>6</v>
      </c>
      <c r="BA354" s="1"/>
      <c r="BB354" s="1" t="s">
        <v>6</v>
      </c>
      <c r="BC354" s="1" t="s">
        <v>6</v>
      </c>
      <c r="BD354" s="1" t="s">
        <v>6</v>
      </c>
      <c r="BE354" s="1" t="s">
        <v>6</v>
      </c>
      <c r="BF354" s="1" t="s">
        <v>6</v>
      </c>
      <c r="BG354" s="1" t="s">
        <v>6</v>
      </c>
      <c r="BH354" s="1" t="s">
        <v>6</v>
      </c>
      <c r="BI354" s="1" t="s">
        <v>6</v>
      </c>
      <c r="BJ354" s="1" t="s">
        <v>6</v>
      </c>
      <c r="BK354" s="1" t="s">
        <v>6</v>
      </c>
      <c r="BL354" s="1" t="s">
        <v>6</v>
      </c>
      <c r="BM354" s="1" t="s">
        <v>6</v>
      </c>
      <c r="BN354" s="1" t="s">
        <v>6</v>
      </c>
      <c r="BO354" s="1" t="s">
        <v>6</v>
      </c>
      <c r="BP354" s="1" t="s">
        <v>6</v>
      </c>
      <c r="BQ354" s="1"/>
      <c r="BR354" s="1"/>
      <c r="BS354" s="1"/>
      <c r="BT354" s="1"/>
      <c r="BU354" s="1"/>
      <c r="BV354" s="1"/>
      <c r="BW354" s="1"/>
      <c r="BX354" s="1">
        <v>0</v>
      </c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>
        <v>0</v>
      </c>
    </row>
    <row r="356" spans="1:245">
      <c r="A356" s="2">
        <v>52</v>
      </c>
      <c r="B356" s="2">
        <f t="shared" ref="B356:G356" si="176">B363</f>
        <v>1</v>
      </c>
      <c r="C356" s="2">
        <f t="shared" si="176"/>
        <v>4</v>
      </c>
      <c r="D356" s="2">
        <f t="shared" si="176"/>
        <v>354</v>
      </c>
      <c r="E356" s="2">
        <f t="shared" si="176"/>
        <v>0</v>
      </c>
      <c r="F356" s="2" t="str">
        <f t="shared" si="176"/>
        <v>Новый раздел</v>
      </c>
      <c r="G356" s="2" t="str">
        <f t="shared" si="176"/>
        <v>Пуско-наладочные работы</v>
      </c>
      <c r="H356" s="2"/>
      <c r="I356" s="2"/>
      <c r="J356" s="2"/>
      <c r="K356" s="2"/>
      <c r="L356" s="2"/>
      <c r="M356" s="2"/>
      <c r="N356" s="2"/>
      <c r="O356" s="2">
        <f t="shared" ref="O356:AT356" si="177">O363</f>
        <v>8308.9500000000007</v>
      </c>
      <c r="P356" s="2">
        <f t="shared" si="177"/>
        <v>0</v>
      </c>
      <c r="Q356" s="2">
        <f t="shared" si="177"/>
        <v>0</v>
      </c>
      <c r="R356" s="2">
        <f t="shared" si="177"/>
        <v>0</v>
      </c>
      <c r="S356" s="2">
        <f t="shared" si="177"/>
        <v>8308.9500000000007</v>
      </c>
      <c r="T356" s="2">
        <f t="shared" si="177"/>
        <v>0</v>
      </c>
      <c r="U356" s="2">
        <f t="shared" si="177"/>
        <v>20.96</v>
      </c>
      <c r="V356" s="2">
        <f t="shared" si="177"/>
        <v>0</v>
      </c>
      <c r="W356" s="2">
        <f t="shared" si="177"/>
        <v>0</v>
      </c>
      <c r="X356" s="2">
        <f t="shared" si="177"/>
        <v>6148.62</v>
      </c>
      <c r="Y356" s="2">
        <f t="shared" si="177"/>
        <v>2991.22</v>
      </c>
      <c r="Z356" s="2">
        <f t="shared" si="177"/>
        <v>0</v>
      </c>
      <c r="AA356" s="2">
        <f t="shared" si="177"/>
        <v>0</v>
      </c>
      <c r="AB356" s="2">
        <f t="shared" si="177"/>
        <v>8308.9500000000007</v>
      </c>
      <c r="AC356" s="2">
        <f t="shared" si="177"/>
        <v>0</v>
      </c>
      <c r="AD356" s="2">
        <f t="shared" si="177"/>
        <v>0</v>
      </c>
      <c r="AE356" s="2">
        <f t="shared" si="177"/>
        <v>0</v>
      </c>
      <c r="AF356" s="2">
        <f t="shared" si="177"/>
        <v>8308.9500000000007</v>
      </c>
      <c r="AG356" s="2">
        <f t="shared" si="177"/>
        <v>0</v>
      </c>
      <c r="AH356" s="2">
        <f t="shared" si="177"/>
        <v>20.96</v>
      </c>
      <c r="AI356" s="2">
        <f t="shared" si="177"/>
        <v>0</v>
      </c>
      <c r="AJ356" s="2">
        <f t="shared" si="177"/>
        <v>0</v>
      </c>
      <c r="AK356" s="2">
        <f t="shared" si="177"/>
        <v>6148.62</v>
      </c>
      <c r="AL356" s="2">
        <f t="shared" si="177"/>
        <v>2991.22</v>
      </c>
      <c r="AM356" s="2">
        <f t="shared" si="177"/>
        <v>0</v>
      </c>
      <c r="AN356" s="2">
        <f t="shared" si="177"/>
        <v>0</v>
      </c>
      <c r="AO356" s="2">
        <f t="shared" si="177"/>
        <v>0</v>
      </c>
      <c r="AP356" s="2">
        <f t="shared" si="177"/>
        <v>0</v>
      </c>
      <c r="AQ356" s="2">
        <f t="shared" si="177"/>
        <v>0</v>
      </c>
      <c r="AR356" s="2">
        <f t="shared" si="177"/>
        <v>17448.79</v>
      </c>
      <c r="AS356" s="2">
        <f t="shared" si="177"/>
        <v>0</v>
      </c>
      <c r="AT356" s="2">
        <f t="shared" si="177"/>
        <v>0</v>
      </c>
      <c r="AU356" s="2">
        <f t="shared" ref="AU356:BZ356" si="178">AU363</f>
        <v>17448.79</v>
      </c>
      <c r="AV356" s="2">
        <f t="shared" si="178"/>
        <v>0</v>
      </c>
      <c r="AW356" s="2">
        <f t="shared" si="178"/>
        <v>0</v>
      </c>
      <c r="AX356" s="2">
        <f t="shared" si="178"/>
        <v>0</v>
      </c>
      <c r="AY356" s="2">
        <f t="shared" si="178"/>
        <v>0</v>
      </c>
      <c r="AZ356" s="2">
        <f t="shared" si="178"/>
        <v>0</v>
      </c>
      <c r="BA356" s="2">
        <f t="shared" si="178"/>
        <v>0</v>
      </c>
      <c r="BB356" s="2">
        <f t="shared" si="178"/>
        <v>0</v>
      </c>
      <c r="BC356" s="2">
        <f t="shared" si="178"/>
        <v>0</v>
      </c>
      <c r="BD356" s="2">
        <f t="shared" si="178"/>
        <v>0</v>
      </c>
      <c r="BE356" s="2">
        <f t="shared" si="178"/>
        <v>0</v>
      </c>
      <c r="BF356" s="2">
        <f t="shared" si="178"/>
        <v>0</v>
      </c>
      <c r="BG356" s="2">
        <f t="shared" si="178"/>
        <v>0</v>
      </c>
      <c r="BH356" s="2">
        <f t="shared" si="178"/>
        <v>0</v>
      </c>
      <c r="BI356" s="2">
        <f t="shared" si="178"/>
        <v>0</v>
      </c>
      <c r="BJ356" s="2">
        <f t="shared" si="178"/>
        <v>0</v>
      </c>
      <c r="BK356" s="2">
        <f t="shared" si="178"/>
        <v>0</v>
      </c>
      <c r="BL356" s="2">
        <f t="shared" si="178"/>
        <v>0</v>
      </c>
      <c r="BM356" s="2">
        <f t="shared" si="178"/>
        <v>0</v>
      </c>
      <c r="BN356" s="2">
        <f t="shared" si="178"/>
        <v>0</v>
      </c>
      <c r="BO356" s="2">
        <f t="shared" si="178"/>
        <v>0</v>
      </c>
      <c r="BP356" s="2">
        <f t="shared" si="178"/>
        <v>0</v>
      </c>
      <c r="BQ356" s="2">
        <f t="shared" si="178"/>
        <v>0</v>
      </c>
      <c r="BR356" s="2">
        <f t="shared" si="178"/>
        <v>0</v>
      </c>
      <c r="BS356" s="2">
        <f t="shared" si="178"/>
        <v>0</v>
      </c>
      <c r="BT356" s="2">
        <f t="shared" si="178"/>
        <v>0</v>
      </c>
      <c r="BU356" s="2">
        <f t="shared" si="178"/>
        <v>0</v>
      </c>
      <c r="BV356" s="2">
        <f t="shared" si="178"/>
        <v>0</v>
      </c>
      <c r="BW356" s="2">
        <f t="shared" si="178"/>
        <v>0</v>
      </c>
      <c r="BX356" s="2">
        <f t="shared" si="178"/>
        <v>0</v>
      </c>
      <c r="BY356" s="2">
        <f t="shared" si="178"/>
        <v>0</v>
      </c>
      <c r="BZ356" s="2">
        <f t="shared" si="178"/>
        <v>0</v>
      </c>
      <c r="CA356" s="2">
        <f t="shared" ref="CA356:DF356" si="179">CA363</f>
        <v>17448.79</v>
      </c>
      <c r="CB356" s="2">
        <f t="shared" si="179"/>
        <v>0</v>
      </c>
      <c r="CC356" s="2">
        <f t="shared" si="179"/>
        <v>0</v>
      </c>
      <c r="CD356" s="2">
        <f t="shared" si="179"/>
        <v>17448.79</v>
      </c>
      <c r="CE356" s="2">
        <f t="shared" si="179"/>
        <v>0</v>
      </c>
      <c r="CF356" s="2">
        <f t="shared" si="179"/>
        <v>0</v>
      </c>
      <c r="CG356" s="2">
        <f t="shared" si="179"/>
        <v>0</v>
      </c>
      <c r="CH356" s="2">
        <f t="shared" si="179"/>
        <v>0</v>
      </c>
      <c r="CI356" s="2">
        <f t="shared" si="179"/>
        <v>0</v>
      </c>
      <c r="CJ356" s="2">
        <f t="shared" si="179"/>
        <v>0</v>
      </c>
      <c r="CK356" s="2">
        <f t="shared" si="179"/>
        <v>0</v>
      </c>
      <c r="CL356" s="2">
        <f t="shared" si="179"/>
        <v>0</v>
      </c>
      <c r="CM356" s="2">
        <f t="shared" si="179"/>
        <v>0</v>
      </c>
      <c r="CN356" s="2">
        <f t="shared" si="179"/>
        <v>0</v>
      </c>
      <c r="CO356" s="2">
        <f t="shared" si="179"/>
        <v>0</v>
      </c>
      <c r="CP356" s="2">
        <f t="shared" si="179"/>
        <v>0</v>
      </c>
      <c r="CQ356" s="2">
        <f t="shared" si="179"/>
        <v>0</v>
      </c>
      <c r="CR356" s="2">
        <f t="shared" si="179"/>
        <v>0</v>
      </c>
      <c r="CS356" s="2">
        <f t="shared" si="179"/>
        <v>0</v>
      </c>
      <c r="CT356" s="2">
        <f t="shared" si="179"/>
        <v>0</v>
      </c>
      <c r="CU356" s="2">
        <f t="shared" si="179"/>
        <v>0</v>
      </c>
      <c r="CV356" s="2">
        <f t="shared" si="179"/>
        <v>0</v>
      </c>
      <c r="CW356" s="2">
        <f t="shared" si="179"/>
        <v>0</v>
      </c>
      <c r="CX356" s="2">
        <f t="shared" si="179"/>
        <v>0</v>
      </c>
      <c r="CY356" s="2">
        <f t="shared" si="179"/>
        <v>0</v>
      </c>
      <c r="CZ356" s="2">
        <f t="shared" si="179"/>
        <v>0</v>
      </c>
      <c r="DA356" s="2">
        <f t="shared" si="179"/>
        <v>0</v>
      </c>
      <c r="DB356" s="2">
        <f t="shared" si="179"/>
        <v>0</v>
      </c>
      <c r="DC356" s="2">
        <f t="shared" si="179"/>
        <v>0</v>
      </c>
      <c r="DD356" s="2">
        <f t="shared" si="179"/>
        <v>0</v>
      </c>
      <c r="DE356" s="2">
        <f t="shared" si="179"/>
        <v>0</v>
      </c>
      <c r="DF356" s="2">
        <f t="shared" si="179"/>
        <v>0</v>
      </c>
      <c r="DG356" s="3">
        <f t="shared" ref="DG356:EL356" si="180">DG363</f>
        <v>0</v>
      </c>
      <c r="DH356" s="3">
        <f t="shared" si="180"/>
        <v>0</v>
      </c>
      <c r="DI356" s="3">
        <f t="shared" si="180"/>
        <v>0</v>
      </c>
      <c r="DJ356" s="3">
        <f t="shared" si="180"/>
        <v>0</v>
      </c>
      <c r="DK356" s="3">
        <f t="shared" si="180"/>
        <v>0</v>
      </c>
      <c r="DL356" s="3">
        <f t="shared" si="180"/>
        <v>0</v>
      </c>
      <c r="DM356" s="3">
        <f t="shared" si="180"/>
        <v>0</v>
      </c>
      <c r="DN356" s="3">
        <f t="shared" si="180"/>
        <v>0</v>
      </c>
      <c r="DO356" s="3">
        <f t="shared" si="180"/>
        <v>0</v>
      </c>
      <c r="DP356" s="3">
        <f t="shared" si="180"/>
        <v>0</v>
      </c>
      <c r="DQ356" s="3">
        <f t="shared" si="180"/>
        <v>0</v>
      </c>
      <c r="DR356" s="3">
        <f t="shared" si="180"/>
        <v>0</v>
      </c>
      <c r="DS356" s="3">
        <f t="shared" si="180"/>
        <v>0</v>
      </c>
      <c r="DT356" s="3">
        <f t="shared" si="180"/>
        <v>0</v>
      </c>
      <c r="DU356" s="3">
        <f t="shared" si="180"/>
        <v>0</v>
      </c>
      <c r="DV356" s="3">
        <f t="shared" si="180"/>
        <v>0</v>
      </c>
      <c r="DW356" s="3">
        <f t="shared" si="180"/>
        <v>0</v>
      </c>
      <c r="DX356" s="3">
        <f t="shared" si="180"/>
        <v>0</v>
      </c>
      <c r="DY356" s="3">
        <f t="shared" si="180"/>
        <v>0</v>
      </c>
      <c r="DZ356" s="3">
        <f t="shared" si="180"/>
        <v>0</v>
      </c>
      <c r="EA356" s="3">
        <f t="shared" si="180"/>
        <v>0</v>
      </c>
      <c r="EB356" s="3">
        <f t="shared" si="180"/>
        <v>0</v>
      </c>
      <c r="EC356" s="3">
        <f t="shared" si="180"/>
        <v>0</v>
      </c>
      <c r="ED356" s="3">
        <f t="shared" si="180"/>
        <v>0</v>
      </c>
      <c r="EE356" s="3">
        <f t="shared" si="180"/>
        <v>0</v>
      </c>
      <c r="EF356" s="3">
        <f t="shared" si="180"/>
        <v>0</v>
      </c>
      <c r="EG356" s="3">
        <f t="shared" si="180"/>
        <v>0</v>
      </c>
      <c r="EH356" s="3">
        <f t="shared" si="180"/>
        <v>0</v>
      </c>
      <c r="EI356" s="3">
        <f t="shared" si="180"/>
        <v>0</v>
      </c>
      <c r="EJ356" s="3">
        <f t="shared" si="180"/>
        <v>0</v>
      </c>
      <c r="EK356" s="3">
        <f t="shared" si="180"/>
        <v>0</v>
      </c>
      <c r="EL356" s="3">
        <f t="shared" si="180"/>
        <v>0</v>
      </c>
      <c r="EM356" s="3">
        <f t="shared" ref="EM356:FR356" si="181">EM363</f>
        <v>0</v>
      </c>
      <c r="EN356" s="3">
        <f t="shared" si="181"/>
        <v>0</v>
      </c>
      <c r="EO356" s="3">
        <f t="shared" si="181"/>
        <v>0</v>
      </c>
      <c r="EP356" s="3">
        <f t="shared" si="181"/>
        <v>0</v>
      </c>
      <c r="EQ356" s="3">
        <f t="shared" si="181"/>
        <v>0</v>
      </c>
      <c r="ER356" s="3">
        <f t="shared" si="181"/>
        <v>0</v>
      </c>
      <c r="ES356" s="3">
        <f t="shared" si="181"/>
        <v>0</v>
      </c>
      <c r="ET356" s="3">
        <f t="shared" si="181"/>
        <v>0</v>
      </c>
      <c r="EU356" s="3">
        <f t="shared" si="181"/>
        <v>0</v>
      </c>
      <c r="EV356" s="3">
        <f t="shared" si="181"/>
        <v>0</v>
      </c>
      <c r="EW356" s="3">
        <f t="shared" si="181"/>
        <v>0</v>
      </c>
      <c r="EX356" s="3">
        <f t="shared" si="181"/>
        <v>0</v>
      </c>
      <c r="EY356" s="3">
        <f t="shared" si="181"/>
        <v>0</v>
      </c>
      <c r="EZ356" s="3">
        <f t="shared" si="181"/>
        <v>0</v>
      </c>
      <c r="FA356" s="3">
        <f t="shared" si="181"/>
        <v>0</v>
      </c>
      <c r="FB356" s="3">
        <f t="shared" si="181"/>
        <v>0</v>
      </c>
      <c r="FC356" s="3">
        <f t="shared" si="181"/>
        <v>0</v>
      </c>
      <c r="FD356" s="3">
        <f t="shared" si="181"/>
        <v>0</v>
      </c>
      <c r="FE356" s="3">
        <f t="shared" si="181"/>
        <v>0</v>
      </c>
      <c r="FF356" s="3">
        <f t="shared" si="181"/>
        <v>0</v>
      </c>
      <c r="FG356" s="3">
        <f t="shared" si="181"/>
        <v>0</v>
      </c>
      <c r="FH356" s="3">
        <f t="shared" si="181"/>
        <v>0</v>
      </c>
      <c r="FI356" s="3">
        <f t="shared" si="181"/>
        <v>0</v>
      </c>
      <c r="FJ356" s="3">
        <f t="shared" si="181"/>
        <v>0</v>
      </c>
      <c r="FK356" s="3">
        <f t="shared" si="181"/>
        <v>0</v>
      </c>
      <c r="FL356" s="3">
        <f t="shared" si="181"/>
        <v>0</v>
      </c>
      <c r="FM356" s="3">
        <f t="shared" si="181"/>
        <v>0</v>
      </c>
      <c r="FN356" s="3">
        <f t="shared" si="181"/>
        <v>0</v>
      </c>
      <c r="FO356" s="3">
        <f t="shared" si="181"/>
        <v>0</v>
      </c>
      <c r="FP356" s="3">
        <f t="shared" si="181"/>
        <v>0</v>
      </c>
      <c r="FQ356" s="3">
        <f t="shared" si="181"/>
        <v>0</v>
      </c>
      <c r="FR356" s="3">
        <f t="shared" si="181"/>
        <v>0</v>
      </c>
      <c r="FS356" s="3">
        <f t="shared" ref="FS356:GX356" si="182">FS363</f>
        <v>0</v>
      </c>
      <c r="FT356" s="3">
        <f t="shared" si="182"/>
        <v>0</v>
      </c>
      <c r="FU356" s="3">
        <f t="shared" si="182"/>
        <v>0</v>
      </c>
      <c r="FV356" s="3">
        <f t="shared" si="182"/>
        <v>0</v>
      </c>
      <c r="FW356" s="3">
        <f t="shared" si="182"/>
        <v>0</v>
      </c>
      <c r="FX356" s="3">
        <f t="shared" si="182"/>
        <v>0</v>
      </c>
      <c r="FY356" s="3">
        <f t="shared" si="182"/>
        <v>0</v>
      </c>
      <c r="FZ356" s="3">
        <f t="shared" si="182"/>
        <v>0</v>
      </c>
      <c r="GA356" s="3">
        <f t="shared" si="182"/>
        <v>0</v>
      </c>
      <c r="GB356" s="3">
        <f t="shared" si="182"/>
        <v>0</v>
      </c>
      <c r="GC356" s="3">
        <f t="shared" si="182"/>
        <v>0</v>
      </c>
      <c r="GD356" s="3">
        <f t="shared" si="182"/>
        <v>0</v>
      </c>
      <c r="GE356" s="3">
        <f t="shared" si="182"/>
        <v>0</v>
      </c>
      <c r="GF356" s="3">
        <f t="shared" si="182"/>
        <v>0</v>
      </c>
      <c r="GG356" s="3">
        <f t="shared" si="182"/>
        <v>0</v>
      </c>
      <c r="GH356" s="3">
        <f t="shared" si="182"/>
        <v>0</v>
      </c>
      <c r="GI356" s="3">
        <f t="shared" si="182"/>
        <v>0</v>
      </c>
      <c r="GJ356" s="3">
        <f t="shared" si="182"/>
        <v>0</v>
      </c>
      <c r="GK356" s="3">
        <f t="shared" si="182"/>
        <v>0</v>
      </c>
      <c r="GL356" s="3">
        <f t="shared" si="182"/>
        <v>0</v>
      </c>
      <c r="GM356" s="3">
        <f t="shared" si="182"/>
        <v>0</v>
      </c>
      <c r="GN356" s="3">
        <f t="shared" si="182"/>
        <v>0</v>
      </c>
      <c r="GO356" s="3">
        <f t="shared" si="182"/>
        <v>0</v>
      </c>
      <c r="GP356" s="3">
        <f t="shared" si="182"/>
        <v>0</v>
      </c>
      <c r="GQ356" s="3">
        <f t="shared" si="182"/>
        <v>0</v>
      </c>
      <c r="GR356" s="3">
        <f t="shared" si="182"/>
        <v>0</v>
      </c>
      <c r="GS356" s="3">
        <f t="shared" si="182"/>
        <v>0</v>
      </c>
      <c r="GT356" s="3">
        <f t="shared" si="182"/>
        <v>0</v>
      </c>
      <c r="GU356" s="3">
        <f t="shared" si="182"/>
        <v>0</v>
      </c>
      <c r="GV356" s="3">
        <f t="shared" si="182"/>
        <v>0</v>
      </c>
      <c r="GW356" s="3">
        <f t="shared" si="182"/>
        <v>0</v>
      </c>
      <c r="GX356" s="3">
        <f t="shared" si="182"/>
        <v>0</v>
      </c>
    </row>
    <row r="358" spans="1:245">
      <c r="A358">
        <v>17</v>
      </c>
      <c r="B358">
        <v>1</v>
      </c>
      <c r="C358">
        <f>ROW(SmtRes!A114)</f>
        <v>114</v>
      </c>
      <c r="D358">
        <f>ROW(EtalonRes!A114)</f>
        <v>114</v>
      </c>
      <c r="E358" t="s">
        <v>226</v>
      </c>
      <c r="F358" t="s">
        <v>227</v>
      </c>
      <c r="G358" t="s">
        <v>228</v>
      </c>
      <c r="H358" t="s">
        <v>20</v>
      </c>
      <c r="I358">
        <v>1</v>
      </c>
      <c r="J358">
        <v>0</v>
      </c>
      <c r="K358">
        <v>1</v>
      </c>
      <c r="O358">
        <f>ROUND(CP358,2)</f>
        <v>2768.69</v>
      </c>
      <c r="P358">
        <f>SUMIF(SmtRes!AQ112:'SmtRes'!AQ114,"=1",SmtRes!DF112:'SmtRes'!DF114)</f>
        <v>0</v>
      </c>
      <c r="Q358">
        <f>SUMIF(SmtRes!AQ112:'SmtRes'!AQ114,"=1",SmtRes!DG112:'SmtRes'!DG114)</f>
        <v>0</v>
      </c>
      <c r="R358">
        <f>SUMIF(SmtRes!AQ112:'SmtRes'!AQ114,"=1",SmtRes!DH112:'SmtRes'!DH114)</f>
        <v>0</v>
      </c>
      <c r="S358">
        <f>SUMIF(SmtRes!AQ112:'SmtRes'!AQ114,"=1",SmtRes!DI112:'SmtRes'!DI114)</f>
        <v>2768.69</v>
      </c>
      <c r="T358">
        <f>ROUND(CU358*I358,2)</f>
        <v>0</v>
      </c>
      <c r="U358">
        <f>SUMIF(SmtRes!AQ112:'SmtRes'!AQ114,"=1",SmtRes!CV112:'SmtRes'!CV114)</f>
        <v>7.2</v>
      </c>
      <c r="V358">
        <f>SUMIF(SmtRes!AQ112:'SmtRes'!AQ114,"=1",SmtRes!CW112:'SmtRes'!CW114)</f>
        <v>0</v>
      </c>
      <c r="W358">
        <f>ROUND(CX358*I358,2)</f>
        <v>0</v>
      </c>
      <c r="X358">
        <f t="shared" ref="X358:Y361" si="183">ROUND(CY358,2)</f>
        <v>2048.83</v>
      </c>
      <c r="Y358">
        <f t="shared" si="183"/>
        <v>996.73</v>
      </c>
      <c r="AA358">
        <v>41853493</v>
      </c>
      <c r="AB358">
        <f>ROUND((AC358+AD358+AF358),2)</f>
        <v>2768.69</v>
      </c>
      <c r="AC358">
        <f>ROUND((0),2)</f>
        <v>0</v>
      </c>
      <c r="AD358">
        <f>ROUND((((0)-(0))+AE358),2)</f>
        <v>0</v>
      </c>
      <c r="AE358">
        <f>ROUND((0),2)</f>
        <v>0</v>
      </c>
      <c r="AF358">
        <f>ROUND((SUM(SmtRes!BT112:'SmtRes'!BT114)),2)</f>
        <v>2768.69</v>
      </c>
      <c r="AG358">
        <f>ROUND((AP358),2)</f>
        <v>0</v>
      </c>
      <c r="AH358">
        <f>(SUM(SmtRes!BU112:'SmtRes'!BU114))</f>
        <v>7.2</v>
      </c>
      <c r="AI358">
        <f>(0)</f>
        <v>0</v>
      </c>
      <c r="AJ358">
        <f>(AS358)</f>
        <v>0</v>
      </c>
      <c r="AK358">
        <v>2768.6880000000001</v>
      </c>
      <c r="AL358">
        <v>0</v>
      </c>
      <c r="AM358">
        <v>0</v>
      </c>
      <c r="AN358">
        <v>0</v>
      </c>
      <c r="AO358">
        <v>2768.6880000000001</v>
      </c>
      <c r="AP358">
        <v>0</v>
      </c>
      <c r="AQ358">
        <v>7.2</v>
      </c>
      <c r="AR358">
        <v>0</v>
      </c>
      <c r="AS358">
        <v>0</v>
      </c>
      <c r="AT358">
        <v>74</v>
      </c>
      <c r="AU358">
        <v>36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6</v>
      </c>
      <c r="BE358" t="s">
        <v>6</v>
      </c>
      <c r="BF358" t="s">
        <v>6</v>
      </c>
      <c r="BG358" t="s">
        <v>6</v>
      </c>
      <c r="BH358">
        <v>0</v>
      </c>
      <c r="BI358">
        <v>4</v>
      </c>
      <c r="BJ358" t="s">
        <v>229</v>
      </c>
      <c r="BM358">
        <v>200001</v>
      </c>
      <c r="BN358">
        <v>0</v>
      </c>
      <c r="BO358" t="s">
        <v>6</v>
      </c>
      <c r="BP358">
        <v>0</v>
      </c>
      <c r="BQ358">
        <v>4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6</v>
      </c>
      <c r="BZ358">
        <v>74</v>
      </c>
      <c r="CA358">
        <v>36</v>
      </c>
      <c r="CB358" t="s">
        <v>6</v>
      </c>
      <c r="CE358">
        <v>0</v>
      </c>
      <c r="CF358">
        <v>0</v>
      </c>
      <c r="CG358">
        <v>0</v>
      </c>
      <c r="CM358">
        <v>0</v>
      </c>
      <c r="CN358" t="s">
        <v>6</v>
      </c>
      <c r="CO358">
        <v>0</v>
      </c>
      <c r="CP358">
        <f>(P358+Q358+S358+R358)</f>
        <v>2768.69</v>
      </c>
      <c r="CQ358">
        <f>SUMIF(SmtRes!AQ112:'SmtRes'!AQ114,"=1",SmtRes!AA112:'SmtRes'!AA114)</f>
        <v>0</v>
      </c>
      <c r="CR358">
        <f>SUMIF(SmtRes!AQ112:'SmtRes'!AQ114,"=1",SmtRes!AB112:'SmtRes'!AB114)</f>
        <v>0</v>
      </c>
      <c r="CS358">
        <f>SUMIF(SmtRes!AQ112:'SmtRes'!AQ114,"=1",SmtRes!AC112:'SmtRes'!AC114)</f>
        <v>0</v>
      </c>
      <c r="CT358">
        <f>SUMIF(SmtRes!AQ112:'SmtRes'!AQ114,"=1",SmtRes!AD112:'SmtRes'!AD114)</f>
        <v>1036</v>
      </c>
      <c r="CU358">
        <f>AG358</f>
        <v>0</v>
      </c>
      <c r="CV358">
        <f>SUMIF(SmtRes!AQ112:'SmtRes'!AQ114,"=1",SmtRes!BU112:'SmtRes'!BU114)</f>
        <v>7.2</v>
      </c>
      <c r="CW358">
        <f>SUMIF(SmtRes!AQ112:'SmtRes'!AQ114,"=1",SmtRes!BV112:'SmtRes'!BV114)</f>
        <v>0</v>
      </c>
      <c r="CX358">
        <f>AJ358</f>
        <v>0</v>
      </c>
      <c r="CY358">
        <f>(((S358+R358)*AT358)/100)</f>
        <v>2048.8305999999998</v>
      </c>
      <c r="CZ358">
        <f>(((S358+R358)*AU358)/100)</f>
        <v>996.72839999999997</v>
      </c>
      <c r="DC358" t="s">
        <v>6</v>
      </c>
      <c r="DD358" t="s">
        <v>6</v>
      </c>
      <c r="DE358" t="s">
        <v>6</v>
      </c>
      <c r="DF358" t="s">
        <v>6</v>
      </c>
      <c r="DG358" t="s">
        <v>6</v>
      </c>
      <c r="DH358" t="s">
        <v>6</v>
      </c>
      <c r="DI358" t="s">
        <v>6</v>
      </c>
      <c r="DJ358" t="s">
        <v>6</v>
      </c>
      <c r="DK358" t="s">
        <v>6</v>
      </c>
      <c r="DL358" t="s">
        <v>6</v>
      </c>
      <c r="DM358" t="s">
        <v>6</v>
      </c>
      <c r="DN358">
        <v>0</v>
      </c>
      <c r="DO358">
        <v>0</v>
      </c>
      <c r="DP358">
        <v>1</v>
      </c>
      <c r="DQ358">
        <v>1</v>
      </c>
      <c r="DU358">
        <v>1013</v>
      </c>
      <c r="DV358" t="s">
        <v>20</v>
      </c>
      <c r="DW358" t="s">
        <v>20</v>
      </c>
      <c r="DX358">
        <v>1</v>
      </c>
      <c r="DZ358" t="s">
        <v>6</v>
      </c>
      <c r="EA358" t="s">
        <v>6</v>
      </c>
      <c r="EB358" t="s">
        <v>6</v>
      </c>
      <c r="EC358" t="s">
        <v>6</v>
      </c>
      <c r="EE358">
        <v>40604507</v>
      </c>
      <c r="EF358">
        <v>4</v>
      </c>
      <c r="EG358" t="s">
        <v>230</v>
      </c>
      <c r="EH358">
        <v>83</v>
      </c>
      <c r="EI358" t="s">
        <v>230</v>
      </c>
      <c r="EJ358">
        <v>4</v>
      </c>
      <c r="EK358">
        <v>200001</v>
      </c>
      <c r="EL358" t="s">
        <v>231</v>
      </c>
      <c r="EM358" t="s">
        <v>232</v>
      </c>
      <c r="EO358" t="s">
        <v>6</v>
      </c>
      <c r="EQ358">
        <v>0</v>
      </c>
      <c r="ER358">
        <v>0</v>
      </c>
      <c r="ES358">
        <v>0</v>
      </c>
      <c r="ET358">
        <v>0</v>
      </c>
      <c r="EU358">
        <v>0</v>
      </c>
      <c r="EV358">
        <v>0</v>
      </c>
      <c r="EW358">
        <v>7.2</v>
      </c>
      <c r="EX358">
        <v>0</v>
      </c>
      <c r="EY358">
        <v>0</v>
      </c>
      <c r="FQ358">
        <v>0</v>
      </c>
      <c r="FR358">
        <f>ROUND(IF(BI358=3,GM358,0),2)</f>
        <v>0</v>
      </c>
      <c r="FS358">
        <v>0</v>
      </c>
      <c r="FX358">
        <v>74</v>
      </c>
      <c r="FY358">
        <v>36</v>
      </c>
      <c r="GA358" t="s">
        <v>6</v>
      </c>
      <c r="GD358">
        <v>1</v>
      </c>
      <c r="GF358">
        <v>-891124223</v>
      </c>
      <c r="GG358">
        <v>2</v>
      </c>
      <c r="GH358">
        <v>1</v>
      </c>
      <c r="GI358">
        <v>-2</v>
      </c>
      <c r="GJ358">
        <v>0</v>
      </c>
      <c r="GK358">
        <v>0</v>
      </c>
      <c r="GL358">
        <f>ROUND(IF(AND(BH358=3,BI358=3,FS358&lt;&gt;0),P358,0),2)</f>
        <v>0</v>
      </c>
      <c r="GM358">
        <f>ROUND(O358+X358+Y358,2)+GX358</f>
        <v>5814.25</v>
      </c>
      <c r="GN358">
        <f>IF(OR(BI358=0,BI358=1),GM358,0)</f>
        <v>0</v>
      </c>
      <c r="GO358">
        <f>IF(BI358=2,GM358,0)</f>
        <v>0</v>
      </c>
      <c r="GP358">
        <f>IF(BI358=4,GM358+GX358,0)</f>
        <v>5814.25</v>
      </c>
      <c r="GR358">
        <v>0</v>
      </c>
      <c r="GS358">
        <v>3</v>
      </c>
      <c r="GT358">
        <v>0</v>
      </c>
      <c r="GU358" t="s">
        <v>6</v>
      </c>
      <c r="GV358">
        <f>ROUND((GT358),2)</f>
        <v>0</v>
      </c>
      <c r="GW358">
        <v>1</v>
      </c>
      <c r="GX358">
        <f>ROUND(HC358*I358,2)</f>
        <v>0</v>
      </c>
      <c r="HA358">
        <v>0</v>
      </c>
      <c r="HB358">
        <v>0</v>
      </c>
      <c r="HC358">
        <f>GV358*GW358</f>
        <v>0</v>
      </c>
      <c r="HE358" t="s">
        <v>6</v>
      </c>
      <c r="HF358" t="s">
        <v>6</v>
      </c>
      <c r="HM358" t="s">
        <v>6</v>
      </c>
      <c r="HN358" t="s">
        <v>233</v>
      </c>
      <c r="HO358" t="s">
        <v>234</v>
      </c>
      <c r="HP358" t="s">
        <v>230</v>
      </c>
      <c r="HQ358" t="s">
        <v>230</v>
      </c>
      <c r="IK358">
        <v>0</v>
      </c>
    </row>
    <row r="359" spans="1:245">
      <c r="A359">
        <v>17</v>
      </c>
      <c r="B359">
        <v>1</v>
      </c>
      <c r="C359">
        <f>ROW(SmtRes!A116)</f>
        <v>116</v>
      </c>
      <c r="D359">
        <f>ROW(EtalonRes!A116)</f>
        <v>116</v>
      </c>
      <c r="E359" t="s">
        <v>235</v>
      </c>
      <c r="F359" t="s">
        <v>236</v>
      </c>
      <c r="G359" t="s">
        <v>237</v>
      </c>
      <c r="H359" t="s">
        <v>20</v>
      </c>
      <c r="I359">
        <v>4</v>
      </c>
      <c r="J359">
        <v>0</v>
      </c>
      <c r="K359">
        <v>4</v>
      </c>
      <c r="O359">
        <f>ROUND(CP359,2)</f>
        <v>1610.54</v>
      </c>
      <c r="P359">
        <f>SUMIF(SmtRes!AQ115:'SmtRes'!AQ116,"=1",SmtRes!DF115:'SmtRes'!DF116)</f>
        <v>0</v>
      </c>
      <c r="Q359">
        <f>SUMIF(SmtRes!AQ115:'SmtRes'!AQ116,"=1",SmtRes!DG115:'SmtRes'!DG116)</f>
        <v>0</v>
      </c>
      <c r="R359">
        <f>SUMIF(SmtRes!AQ115:'SmtRes'!AQ116,"=1",SmtRes!DH115:'SmtRes'!DH116)</f>
        <v>0</v>
      </c>
      <c r="S359">
        <f>SUMIF(SmtRes!AQ115:'SmtRes'!AQ116,"=1",SmtRes!DI115:'SmtRes'!DI116)</f>
        <v>1610.54</v>
      </c>
      <c r="T359">
        <f>ROUND(CU359*I359,2)</f>
        <v>0</v>
      </c>
      <c r="U359">
        <f>SUMIF(SmtRes!AQ115:'SmtRes'!AQ116,"=1",SmtRes!CV115:'SmtRes'!CV116)</f>
        <v>4</v>
      </c>
      <c r="V359">
        <f>SUMIF(SmtRes!AQ115:'SmtRes'!AQ116,"=1",SmtRes!CW115:'SmtRes'!CW116)</f>
        <v>0</v>
      </c>
      <c r="W359">
        <f>ROUND(CX359*I359,2)</f>
        <v>0</v>
      </c>
      <c r="X359">
        <f t="shared" si="183"/>
        <v>1191.8</v>
      </c>
      <c r="Y359">
        <f t="shared" si="183"/>
        <v>579.79</v>
      </c>
      <c r="AA359">
        <v>41853493</v>
      </c>
      <c r="AB359">
        <f>ROUND((AC359+AD359+AF359),2)</f>
        <v>402.64</v>
      </c>
      <c r="AC359">
        <f>ROUND((0),2)</f>
        <v>0</v>
      </c>
      <c r="AD359">
        <f>ROUND((((0)-(0))+AE359),2)</f>
        <v>0</v>
      </c>
      <c r="AE359">
        <f>ROUND((0),2)</f>
        <v>0</v>
      </c>
      <c r="AF359">
        <f>ROUND((SUM(SmtRes!BT115:'SmtRes'!BT116)),2)</f>
        <v>402.64</v>
      </c>
      <c r="AG359">
        <f>ROUND((AP359),2)</f>
        <v>0</v>
      </c>
      <c r="AH359">
        <f>(SUM(SmtRes!BU115:'SmtRes'!BU116))</f>
        <v>1</v>
      </c>
      <c r="AI359">
        <f>(0)</f>
        <v>0</v>
      </c>
      <c r="AJ359">
        <f>(AS359)</f>
        <v>0</v>
      </c>
      <c r="AK359">
        <v>402.63499999999999</v>
      </c>
      <c r="AL359">
        <v>0</v>
      </c>
      <c r="AM359">
        <v>0</v>
      </c>
      <c r="AN359">
        <v>0</v>
      </c>
      <c r="AO359">
        <v>402.63499999999999</v>
      </c>
      <c r="AP359">
        <v>0</v>
      </c>
      <c r="AQ359">
        <v>1</v>
      </c>
      <c r="AR359">
        <v>0</v>
      </c>
      <c r="AS359">
        <v>0</v>
      </c>
      <c r="AT359">
        <v>74</v>
      </c>
      <c r="AU359">
        <v>36</v>
      </c>
      <c r="AV359">
        <v>1</v>
      </c>
      <c r="AW359">
        <v>1</v>
      </c>
      <c r="AZ359">
        <v>1</v>
      </c>
      <c r="BA359">
        <v>1</v>
      </c>
      <c r="BB359">
        <v>1</v>
      </c>
      <c r="BC359">
        <v>1</v>
      </c>
      <c r="BD359" t="s">
        <v>6</v>
      </c>
      <c r="BE359" t="s">
        <v>6</v>
      </c>
      <c r="BF359" t="s">
        <v>6</v>
      </c>
      <c r="BG359" t="s">
        <v>6</v>
      </c>
      <c r="BH359">
        <v>0</v>
      </c>
      <c r="BI359">
        <v>4</v>
      </c>
      <c r="BJ359" t="s">
        <v>238</v>
      </c>
      <c r="BM359">
        <v>200001</v>
      </c>
      <c r="BN359">
        <v>0</v>
      </c>
      <c r="BO359" t="s">
        <v>6</v>
      </c>
      <c r="BP359">
        <v>0</v>
      </c>
      <c r="BQ359">
        <v>4</v>
      </c>
      <c r="BR359">
        <v>0</v>
      </c>
      <c r="BS359">
        <v>1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6</v>
      </c>
      <c r="BZ359">
        <v>74</v>
      </c>
      <c r="CA359">
        <v>36</v>
      </c>
      <c r="CB359" t="s">
        <v>6</v>
      </c>
      <c r="CE359">
        <v>0</v>
      </c>
      <c r="CF359">
        <v>0</v>
      </c>
      <c r="CG359">
        <v>0</v>
      </c>
      <c r="CM359">
        <v>0</v>
      </c>
      <c r="CN359" t="s">
        <v>6</v>
      </c>
      <c r="CO359">
        <v>0</v>
      </c>
      <c r="CP359">
        <f>(P359+Q359+S359+R359)</f>
        <v>1610.54</v>
      </c>
      <c r="CQ359">
        <f>SUMIF(SmtRes!AQ115:'SmtRes'!AQ116,"=1",SmtRes!AA115:'SmtRes'!AA116)</f>
        <v>0</v>
      </c>
      <c r="CR359">
        <f>SUMIF(SmtRes!AQ115:'SmtRes'!AQ116,"=1",SmtRes!AB115:'SmtRes'!AB116)</f>
        <v>0</v>
      </c>
      <c r="CS359">
        <f>SUMIF(SmtRes!AQ115:'SmtRes'!AQ116,"=1",SmtRes!AC115:'SmtRes'!AC116)</f>
        <v>0</v>
      </c>
      <c r="CT359">
        <f>SUMIF(SmtRes!AQ115:'SmtRes'!AQ116,"=1",SmtRes!AD115:'SmtRes'!AD116)</f>
        <v>805.27</v>
      </c>
      <c r="CU359">
        <f>AG359</f>
        <v>0</v>
      </c>
      <c r="CV359">
        <f>SUMIF(SmtRes!AQ115:'SmtRes'!AQ116,"=1",SmtRes!BU115:'SmtRes'!BU116)</f>
        <v>1</v>
      </c>
      <c r="CW359">
        <f>SUMIF(SmtRes!AQ115:'SmtRes'!AQ116,"=1",SmtRes!BV115:'SmtRes'!BV116)</f>
        <v>0</v>
      </c>
      <c r="CX359">
        <f>AJ359</f>
        <v>0</v>
      </c>
      <c r="CY359">
        <f>(((S359+R359)*AT359)/100)</f>
        <v>1191.7995999999998</v>
      </c>
      <c r="CZ359">
        <f>(((S359+R359)*AU359)/100)</f>
        <v>579.7944</v>
      </c>
      <c r="DC359" t="s">
        <v>6</v>
      </c>
      <c r="DD359" t="s">
        <v>6</v>
      </c>
      <c r="DE359" t="s">
        <v>6</v>
      </c>
      <c r="DF359" t="s">
        <v>6</v>
      </c>
      <c r="DG359" t="s">
        <v>6</v>
      </c>
      <c r="DH359" t="s">
        <v>6</v>
      </c>
      <c r="DI359" t="s">
        <v>6</v>
      </c>
      <c r="DJ359" t="s">
        <v>6</v>
      </c>
      <c r="DK359" t="s">
        <v>6</v>
      </c>
      <c r="DL359" t="s">
        <v>6</v>
      </c>
      <c r="DM359" t="s">
        <v>6</v>
      </c>
      <c r="DN359">
        <v>0</v>
      </c>
      <c r="DO359">
        <v>0</v>
      </c>
      <c r="DP359">
        <v>1</v>
      </c>
      <c r="DQ359">
        <v>1</v>
      </c>
      <c r="DU359">
        <v>1013</v>
      </c>
      <c r="DV359" t="s">
        <v>20</v>
      </c>
      <c r="DW359" t="s">
        <v>20</v>
      </c>
      <c r="DX359">
        <v>1</v>
      </c>
      <c r="DZ359" t="s">
        <v>6</v>
      </c>
      <c r="EA359" t="s">
        <v>6</v>
      </c>
      <c r="EB359" t="s">
        <v>6</v>
      </c>
      <c r="EC359" t="s">
        <v>6</v>
      </c>
      <c r="EE359">
        <v>40604507</v>
      </c>
      <c r="EF359">
        <v>4</v>
      </c>
      <c r="EG359" t="s">
        <v>230</v>
      </c>
      <c r="EH359">
        <v>83</v>
      </c>
      <c r="EI359" t="s">
        <v>230</v>
      </c>
      <c r="EJ359">
        <v>4</v>
      </c>
      <c r="EK359">
        <v>200001</v>
      </c>
      <c r="EL359" t="s">
        <v>231</v>
      </c>
      <c r="EM359" t="s">
        <v>232</v>
      </c>
      <c r="EO359" t="s">
        <v>6</v>
      </c>
      <c r="EQ359">
        <v>0</v>
      </c>
      <c r="ER359">
        <v>0</v>
      </c>
      <c r="ES359">
        <v>0</v>
      </c>
      <c r="ET359">
        <v>0</v>
      </c>
      <c r="EU359">
        <v>0</v>
      </c>
      <c r="EV359">
        <v>0</v>
      </c>
      <c r="EW359">
        <v>1</v>
      </c>
      <c r="EX359">
        <v>0</v>
      </c>
      <c r="EY359">
        <v>0</v>
      </c>
      <c r="FQ359">
        <v>0</v>
      </c>
      <c r="FR359">
        <f>ROUND(IF(BI359=3,GM359,0),2)</f>
        <v>0</v>
      </c>
      <c r="FS359">
        <v>0</v>
      </c>
      <c r="FX359">
        <v>74</v>
      </c>
      <c r="FY359">
        <v>36</v>
      </c>
      <c r="GA359" t="s">
        <v>6</v>
      </c>
      <c r="GD359">
        <v>1</v>
      </c>
      <c r="GF359">
        <v>-78249369</v>
      </c>
      <c r="GG359">
        <v>2</v>
      </c>
      <c r="GH359">
        <v>1</v>
      </c>
      <c r="GI359">
        <v>-2</v>
      </c>
      <c r="GJ359">
        <v>0</v>
      </c>
      <c r="GK359">
        <v>0</v>
      </c>
      <c r="GL359">
        <f>ROUND(IF(AND(BH359=3,BI359=3,FS359&lt;&gt;0),P359,0),2)</f>
        <v>0</v>
      </c>
      <c r="GM359">
        <f>ROUND(O359+X359+Y359,2)+GX359</f>
        <v>3382.13</v>
      </c>
      <c r="GN359">
        <f>IF(OR(BI359=0,BI359=1),GM359,0)</f>
        <v>0</v>
      </c>
      <c r="GO359">
        <f>IF(BI359=2,GM359,0)</f>
        <v>0</v>
      </c>
      <c r="GP359">
        <f>IF(BI359=4,GM359+GX359,0)</f>
        <v>3382.13</v>
      </c>
      <c r="GR359">
        <v>0</v>
      </c>
      <c r="GS359">
        <v>3</v>
      </c>
      <c r="GT359">
        <v>0</v>
      </c>
      <c r="GU359" t="s">
        <v>6</v>
      </c>
      <c r="GV359">
        <f>ROUND((GT359),2)</f>
        <v>0</v>
      </c>
      <c r="GW359">
        <v>1</v>
      </c>
      <c r="GX359">
        <f>ROUND(HC359*I359,2)</f>
        <v>0</v>
      </c>
      <c r="HA359">
        <v>0</v>
      </c>
      <c r="HB359">
        <v>0</v>
      </c>
      <c r="HC359">
        <f>GV359*GW359</f>
        <v>0</v>
      </c>
      <c r="HE359" t="s">
        <v>6</v>
      </c>
      <c r="HF359" t="s">
        <v>6</v>
      </c>
      <c r="HM359" t="s">
        <v>6</v>
      </c>
      <c r="HN359" t="s">
        <v>233</v>
      </c>
      <c r="HO359" t="s">
        <v>234</v>
      </c>
      <c r="HP359" t="s">
        <v>230</v>
      </c>
      <c r="HQ359" t="s">
        <v>230</v>
      </c>
      <c r="IK359">
        <v>0</v>
      </c>
    </row>
    <row r="360" spans="1:245">
      <c r="A360">
        <v>17</v>
      </c>
      <c r="B360">
        <v>1</v>
      </c>
      <c r="C360">
        <f>ROW(SmtRes!A118)</f>
        <v>118</v>
      </c>
      <c r="D360">
        <f>ROW(EtalonRes!A118)</f>
        <v>118</v>
      </c>
      <c r="E360" t="s">
        <v>239</v>
      </c>
      <c r="F360" t="s">
        <v>240</v>
      </c>
      <c r="G360" t="s">
        <v>241</v>
      </c>
      <c r="H360" t="s">
        <v>20</v>
      </c>
      <c r="I360">
        <v>4</v>
      </c>
      <c r="J360">
        <v>0</v>
      </c>
      <c r="K360">
        <v>4</v>
      </c>
      <c r="O360">
        <f>ROUND(CP360,2)</f>
        <v>1320.64</v>
      </c>
      <c r="P360">
        <f>SUMIF(SmtRes!AQ117:'SmtRes'!AQ118,"=1",SmtRes!DF117:'SmtRes'!DF118)</f>
        <v>0</v>
      </c>
      <c r="Q360">
        <f>SUMIF(SmtRes!AQ117:'SmtRes'!AQ118,"=1",SmtRes!DG117:'SmtRes'!DG118)</f>
        <v>0</v>
      </c>
      <c r="R360">
        <f>SUMIF(SmtRes!AQ117:'SmtRes'!AQ118,"=1",SmtRes!DH117:'SmtRes'!DH118)</f>
        <v>0</v>
      </c>
      <c r="S360">
        <f>SUMIF(SmtRes!AQ117:'SmtRes'!AQ118,"=1",SmtRes!DI117:'SmtRes'!DI118)</f>
        <v>1320.6399999999999</v>
      </c>
      <c r="T360">
        <f>ROUND(CU360*I360,2)</f>
        <v>0</v>
      </c>
      <c r="U360">
        <f>SUMIF(SmtRes!AQ117:'SmtRes'!AQ118,"=1",SmtRes!CV117:'SmtRes'!CV118)</f>
        <v>3.28</v>
      </c>
      <c r="V360">
        <f>SUMIF(SmtRes!AQ117:'SmtRes'!AQ118,"=1",SmtRes!CW117:'SmtRes'!CW118)</f>
        <v>0</v>
      </c>
      <c r="W360">
        <f>ROUND(CX360*I360,2)</f>
        <v>0</v>
      </c>
      <c r="X360">
        <f t="shared" si="183"/>
        <v>977.27</v>
      </c>
      <c r="Y360">
        <f t="shared" si="183"/>
        <v>475.43</v>
      </c>
      <c r="AA360">
        <v>41853493</v>
      </c>
      <c r="AB360">
        <f>ROUND((AC360+AD360+AF360),2)</f>
        <v>330.16</v>
      </c>
      <c r="AC360">
        <f>ROUND((0),2)</f>
        <v>0</v>
      </c>
      <c r="AD360">
        <f>ROUND((((0)-(0))+AE360),2)</f>
        <v>0</v>
      </c>
      <c r="AE360">
        <f>ROUND((0),2)</f>
        <v>0</v>
      </c>
      <c r="AF360">
        <f>ROUND((SUM(SmtRes!BT117:'SmtRes'!BT118)),2)</f>
        <v>330.16</v>
      </c>
      <c r="AG360">
        <f>ROUND((AP360),2)</f>
        <v>0</v>
      </c>
      <c r="AH360">
        <f>(SUM(SmtRes!BU117:'SmtRes'!BU118))</f>
        <v>0.82</v>
      </c>
      <c r="AI360">
        <f>(0)</f>
        <v>0</v>
      </c>
      <c r="AJ360">
        <f>(AS360)</f>
        <v>0</v>
      </c>
      <c r="AK360">
        <v>330.16070000000002</v>
      </c>
      <c r="AL360">
        <v>0</v>
      </c>
      <c r="AM360">
        <v>0</v>
      </c>
      <c r="AN360">
        <v>0</v>
      </c>
      <c r="AO360">
        <v>330.16070000000002</v>
      </c>
      <c r="AP360">
        <v>0</v>
      </c>
      <c r="AQ360">
        <v>0.82</v>
      </c>
      <c r="AR360">
        <v>0</v>
      </c>
      <c r="AS360">
        <v>0</v>
      </c>
      <c r="AT360">
        <v>74</v>
      </c>
      <c r="AU360">
        <v>36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1</v>
      </c>
      <c r="BD360" t="s">
        <v>6</v>
      </c>
      <c r="BE360" t="s">
        <v>6</v>
      </c>
      <c r="BF360" t="s">
        <v>6</v>
      </c>
      <c r="BG360" t="s">
        <v>6</v>
      </c>
      <c r="BH360">
        <v>0</v>
      </c>
      <c r="BI360">
        <v>4</v>
      </c>
      <c r="BJ360" t="s">
        <v>242</v>
      </c>
      <c r="BM360">
        <v>200001</v>
      </c>
      <c r="BN360">
        <v>0</v>
      </c>
      <c r="BO360" t="s">
        <v>6</v>
      </c>
      <c r="BP360">
        <v>0</v>
      </c>
      <c r="BQ360">
        <v>4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6</v>
      </c>
      <c r="BZ360">
        <v>74</v>
      </c>
      <c r="CA360">
        <v>36</v>
      </c>
      <c r="CB360" t="s">
        <v>6</v>
      </c>
      <c r="CE360">
        <v>0</v>
      </c>
      <c r="CF360">
        <v>0</v>
      </c>
      <c r="CG360">
        <v>0</v>
      </c>
      <c r="CM360">
        <v>0</v>
      </c>
      <c r="CN360" t="s">
        <v>6</v>
      </c>
      <c r="CO360">
        <v>0</v>
      </c>
      <c r="CP360">
        <f>(P360+Q360+S360+R360)</f>
        <v>1320.6399999999999</v>
      </c>
      <c r="CQ360">
        <f>SUMIF(SmtRes!AQ117:'SmtRes'!AQ118,"=1",SmtRes!AA117:'SmtRes'!AA118)</f>
        <v>0</v>
      </c>
      <c r="CR360">
        <f>SUMIF(SmtRes!AQ117:'SmtRes'!AQ118,"=1",SmtRes!AB117:'SmtRes'!AB118)</f>
        <v>0</v>
      </c>
      <c r="CS360">
        <f>SUMIF(SmtRes!AQ117:'SmtRes'!AQ118,"=1",SmtRes!AC117:'SmtRes'!AC118)</f>
        <v>0</v>
      </c>
      <c r="CT360">
        <f>SUMIF(SmtRes!AQ117:'SmtRes'!AQ118,"=1",SmtRes!AD117:'SmtRes'!AD118)</f>
        <v>805.27</v>
      </c>
      <c r="CU360">
        <f>AG360</f>
        <v>0</v>
      </c>
      <c r="CV360">
        <f>SUMIF(SmtRes!AQ117:'SmtRes'!AQ118,"=1",SmtRes!BU117:'SmtRes'!BU118)</f>
        <v>0.82</v>
      </c>
      <c r="CW360">
        <f>SUMIF(SmtRes!AQ117:'SmtRes'!AQ118,"=1",SmtRes!BV117:'SmtRes'!BV118)</f>
        <v>0</v>
      </c>
      <c r="CX360">
        <f>AJ360</f>
        <v>0</v>
      </c>
      <c r="CY360">
        <f>(((S360+R360)*AT360)/100)</f>
        <v>977.27359999999987</v>
      </c>
      <c r="CZ360">
        <f>(((S360+R360)*AU360)/100)</f>
        <v>475.43039999999996</v>
      </c>
      <c r="DC360" t="s">
        <v>6</v>
      </c>
      <c r="DD360" t="s">
        <v>6</v>
      </c>
      <c r="DE360" t="s">
        <v>6</v>
      </c>
      <c r="DF360" t="s">
        <v>6</v>
      </c>
      <c r="DG360" t="s">
        <v>6</v>
      </c>
      <c r="DH360" t="s">
        <v>6</v>
      </c>
      <c r="DI360" t="s">
        <v>6</v>
      </c>
      <c r="DJ360" t="s">
        <v>6</v>
      </c>
      <c r="DK360" t="s">
        <v>6</v>
      </c>
      <c r="DL360" t="s">
        <v>6</v>
      </c>
      <c r="DM360" t="s">
        <v>6</v>
      </c>
      <c r="DN360">
        <v>0</v>
      </c>
      <c r="DO360">
        <v>0</v>
      </c>
      <c r="DP360">
        <v>1</v>
      </c>
      <c r="DQ360">
        <v>1</v>
      </c>
      <c r="DU360">
        <v>1013</v>
      </c>
      <c r="DV360" t="s">
        <v>20</v>
      </c>
      <c r="DW360" t="s">
        <v>20</v>
      </c>
      <c r="DX360">
        <v>1</v>
      </c>
      <c r="DZ360" t="s">
        <v>6</v>
      </c>
      <c r="EA360" t="s">
        <v>6</v>
      </c>
      <c r="EB360" t="s">
        <v>6</v>
      </c>
      <c r="EC360" t="s">
        <v>6</v>
      </c>
      <c r="EE360">
        <v>40604507</v>
      </c>
      <c r="EF360">
        <v>4</v>
      </c>
      <c r="EG360" t="s">
        <v>230</v>
      </c>
      <c r="EH360">
        <v>83</v>
      </c>
      <c r="EI360" t="s">
        <v>230</v>
      </c>
      <c r="EJ360">
        <v>4</v>
      </c>
      <c r="EK360">
        <v>200001</v>
      </c>
      <c r="EL360" t="s">
        <v>231</v>
      </c>
      <c r="EM360" t="s">
        <v>232</v>
      </c>
      <c r="EO360" t="s">
        <v>6</v>
      </c>
      <c r="EQ360">
        <v>0</v>
      </c>
      <c r="ER360">
        <v>0</v>
      </c>
      <c r="ES360">
        <v>0</v>
      </c>
      <c r="ET360">
        <v>0</v>
      </c>
      <c r="EU360">
        <v>0</v>
      </c>
      <c r="EV360">
        <v>0</v>
      </c>
      <c r="EW360">
        <v>0.82</v>
      </c>
      <c r="EX360">
        <v>0</v>
      </c>
      <c r="EY360">
        <v>0</v>
      </c>
      <c r="FQ360">
        <v>0</v>
      </c>
      <c r="FR360">
        <f>ROUND(IF(BI360=3,GM360,0),2)</f>
        <v>0</v>
      </c>
      <c r="FS360">
        <v>0</v>
      </c>
      <c r="FX360">
        <v>74</v>
      </c>
      <c r="FY360">
        <v>36</v>
      </c>
      <c r="GA360" t="s">
        <v>6</v>
      </c>
      <c r="GD360">
        <v>1</v>
      </c>
      <c r="GF360">
        <v>754195476</v>
      </c>
      <c r="GG360">
        <v>2</v>
      </c>
      <c r="GH360">
        <v>1</v>
      </c>
      <c r="GI360">
        <v>-2</v>
      </c>
      <c r="GJ360">
        <v>0</v>
      </c>
      <c r="GK360">
        <v>0</v>
      </c>
      <c r="GL360">
        <f>ROUND(IF(AND(BH360=3,BI360=3,FS360&lt;&gt;0),P360,0),2)</f>
        <v>0</v>
      </c>
      <c r="GM360">
        <f>ROUND(O360+X360+Y360,2)+GX360</f>
        <v>2773.34</v>
      </c>
      <c r="GN360">
        <f>IF(OR(BI360=0,BI360=1),GM360,0)</f>
        <v>0</v>
      </c>
      <c r="GO360">
        <f>IF(BI360=2,GM360,0)</f>
        <v>0</v>
      </c>
      <c r="GP360">
        <f>IF(BI360=4,GM360+GX360,0)</f>
        <v>2773.34</v>
      </c>
      <c r="GR360">
        <v>0</v>
      </c>
      <c r="GS360">
        <v>3</v>
      </c>
      <c r="GT360">
        <v>0</v>
      </c>
      <c r="GU360" t="s">
        <v>6</v>
      </c>
      <c r="GV360">
        <f>ROUND((GT360),2)</f>
        <v>0</v>
      </c>
      <c r="GW360">
        <v>1</v>
      </c>
      <c r="GX360">
        <f>ROUND(HC360*I360,2)</f>
        <v>0</v>
      </c>
      <c r="HA360">
        <v>0</v>
      </c>
      <c r="HB360">
        <v>0</v>
      </c>
      <c r="HC360">
        <f>GV360*GW360</f>
        <v>0</v>
      </c>
      <c r="HE360" t="s">
        <v>6</v>
      </c>
      <c r="HF360" t="s">
        <v>6</v>
      </c>
      <c r="HM360" t="s">
        <v>6</v>
      </c>
      <c r="HN360" t="s">
        <v>233</v>
      </c>
      <c r="HO360" t="s">
        <v>234</v>
      </c>
      <c r="HP360" t="s">
        <v>230</v>
      </c>
      <c r="HQ360" t="s">
        <v>230</v>
      </c>
      <c r="IK360">
        <v>0</v>
      </c>
    </row>
    <row r="361" spans="1:245">
      <c r="A361">
        <v>17</v>
      </c>
      <c r="B361">
        <v>1</v>
      </c>
      <c r="C361">
        <f>ROW(SmtRes!A120)</f>
        <v>120</v>
      </c>
      <c r="D361">
        <f>ROW(EtalonRes!A120)</f>
        <v>120</v>
      </c>
      <c r="E361" t="s">
        <v>243</v>
      </c>
      <c r="F361" t="s">
        <v>244</v>
      </c>
      <c r="G361" t="s">
        <v>245</v>
      </c>
      <c r="H361" t="s">
        <v>20</v>
      </c>
      <c r="I361">
        <v>4</v>
      </c>
      <c r="J361">
        <v>0</v>
      </c>
      <c r="K361">
        <v>4</v>
      </c>
      <c r="O361">
        <f>ROUND(CP361,2)</f>
        <v>2609.08</v>
      </c>
      <c r="P361">
        <f>SUMIF(SmtRes!AQ119:'SmtRes'!AQ120,"=1",SmtRes!DF119:'SmtRes'!DF120)</f>
        <v>0</v>
      </c>
      <c r="Q361">
        <f>SUMIF(SmtRes!AQ119:'SmtRes'!AQ120,"=1",SmtRes!DG119:'SmtRes'!DG120)</f>
        <v>0</v>
      </c>
      <c r="R361">
        <f>SUMIF(SmtRes!AQ119:'SmtRes'!AQ120,"=1",SmtRes!DH119:'SmtRes'!DH120)</f>
        <v>0</v>
      </c>
      <c r="S361">
        <f>SUMIF(SmtRes!AQ119:'SmtRes'!AQ120,"=1",SmtRes!DI119:'SmtRes'!DI120)</f>
        <v>2609.08</v>
      </c>
      <c r="T361">
        <f>ROUND(CU361*I361,2)</f>
        <v>0</v>
      </c>
      <c r="U361">
        <f>SUMIF(SmtRes!AQ119:'SmtRes'!AQ120,"=1",SmtRes!CV119:'SmtRes'!CV120)</f>
        <v>6.48</v>
      </c>
      <c r="V361">
        <f>SUMIF(SmtRes!AQ119:'SmtRes'!AQ120,"=1",SmtRes!CW119:'SmtRes'!CW120)</f>
        <v>0</v>
      </c>
      <c r="W361">
        <f>ROUND(CX361*I361,2)</f>
        <v>0</v>
      </c>
      <c r="X361">
        <f t="shared" si="183"/>
        <v>1930.72</v>
      </c>
      <c r="Y361">
        <f t="shared" si="183"/>
        <v>939.27</v>
      </c>
      <c r="AA361">
        <v>41853493</v>
      </c>
      <c r="AB361">
        <f>ROUND((AC361+AD361+AF361),2)</f>
        <v>652.27</v>
      </c>
      <c r="AC361">
        <f>ROUND((0),2)</f>
        <v>0</v>
      </c>
      <c r="AD361">
        <f>ROUND((((0)-(0))+AE361),2)</f>
        <v>0</v>
      </c>
      <c r="AE361">
        <f>ROUND((0),2)</f>
        <v>0</v>
      </c>
      <c r="AF361">
        <f>ROUND((SUM(SmtRes!BT119:'SmtRes'!BT120)),2)</f>
        <v>652.27</v>
      </c>
      <c r="AG361">
        <f>ROUND((AP361),2)</f>
        <v>0</v>
      </c>
      <c r="AH361">
        <f>(SUM(SmtRes!BU119:'SmtRes'!BU120))</f>
        <v>1.62</v>
      </c>
      <c r="AI361">
        <f>(0)</f>
        <v>0</v>
      </c>
      <c r="AJ361">
        <f>(AS361)</f>
        <v>0</v>
      </c>
      <c r="AK361">
        <v>652.26870000000008</v>
      </c>
      <c r="AL361">
        <v>0</v>
      </c>
      <c r="AM361">
        <v>0</v>
      </c>
      <c r="AN361">
        <v>0</v>
      </c>
      <c r="AO361">
        <v>652.26870000000008</v>
      </c>
      <c r="AP361">
        <v>0</v>
      </c>
      <c r="AQ361">
        <v>1.62</v>
      </c>
      <c r="AR361">
        <v>0</v>
      </c>
      <c r="AS361">
        <v>0</v>
      </c>
      <c r="AT361">
        <v>74</v>
      </c>
      <c r="AU361">
        <v>36</v>
      </c>
      <c r="AV361">
        <v>1</v>
      </c>
      <c r="AW361">
        <v>1</v>
      </c>
      <c r="AZ361">
        <v>1</v>
      </c>
      <c r="BA361">
        <v>1</v>
      </c>
      <c r="BB361">
        <v>1</v>
      </c>
      <c r="BC361">
        <v>1</v>
      </c>
      <c r="BD361" t="s">
        <v>6</v>
      </c>
      <c r="BE361" t="s">
        <v>6</v>
      </c>
      <c r="BF361" t="s">
        <v>6</v>
      </c>
      <c r="BG361" t="s">
        <v>6</v>
      </c>
      <c r="BH361">
        <v>0</v>
      </c>
      <c r="BI361">
        <v>4</v>
      </c>
      <c r="BJ361" t="s">
        <v>246</v>
      </c>
      <c r="BM361">
        <v>200001</v>
      </c>
      <c r="BN361">
        <v>0</v>
      </c>
      <c r="BO361" t="s">
        <v>6</v>
      </c>
      <c r="BP361">
        <v>0</v>
      </c>
      <c r="BQ361">
        <v>4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6</v>
      </c>
      <c r="BZ361">
        <v>74</v>
      </c>
      <c r="CA361">
        <v>36</v>
      </c>
      <c r="CB361" t="s">
        <v>6</v>
      </c>
      <c r="CE361">
        <v>0</v>
      </c>
      <c r="CF361">
        <v>0</v>
      </c>
      <c r="CG361">
        <v>0</v>
      </c>
      <c r="CM361">
        <v>0</v>
      </c>
      <c r="CN361" t="s">
        <v>6</v>
      </c>
      <c r="CO361">
        <v>0</v>
      </c>
      <c r="CP361">
        <f>(P361+Q361+S361+R361)</f>
        <v>2609.08</v>
      </c>
      <c r="CQ361">
        <f>SUMIF(SmtRes!AQ119:'SmtRes'!AQ120,"=1",SmtRes!AA119:'SmtRes'!AA120)</f>
        <v>0</v>
      </c>
      <c r="CR361">
        <f>SUMIF(SmtRes!AQ119:'SmtRes'!AQ120,"=1",SmtRes!AB119:'SmtRes'!AB120)</f>
        <v>0</v>
      </c>
      <c r="CS361">
        <f>SUMIF(SmtRes!AQ119:'SmtRes'!AQ120,"=1",SmtRes!AC119:'SmtRes'!AC120)</f>
        <v>0</v>
      </c>
      <c r="CT361">
        <f>SUMIF(SmtRes!AQ119:'SmtRes'!AQ120,"=1",SmtRes!AD119:'SmtRes'!AD120)</f>
        <v>805.27</v>
      </c>
      <c r="CU361">
        <f>AG361</f>
        <v>0</v>
      </c>
      <c r="CV361">
        <f>SUMIF(SmtRes!AQ119:'SmtRes'!AQ120,"=1",SmtRes!BU119:'SmtRes'!BU120)</f>
        <v>1.62</v>
      </c>
      <c r="CW361">
        <f>SUMIF(SmtRes!AQ119:'SmtRes'!AQ120,"=1",SmtRes!BV119:'SmtRes'!BV120)</f>
        <v>0</v>
      </c>
      <c r="CX361">
        <f>AJ361</f>
        <v>0</v>
      </c>
      <c r="CY361">
        <f>(((S361+R361)*AT361)/100)</f>
        <v>1930.7191999999998</v>
      </c>
      <c r="CZ361">
        <f>(((S361+R361)*AU361)/100)</f>
        <v>939.26880000000006</v>
      </c>
      <c r="DC361" t="s">
        <v>6</v>
      </c>
      <c r="DD361" t="s">
        <v>6</v>
      </c>
      <c r="DE361" t="s">
        <v>6</v>
      </c>
      <c r="DF361" t="s">
        <v>6</v>
      </c>
      <c r="DG361" t="s">
        <v>6</v>
      </c>
      <c r="DH361" t="s">
        <v>6</v>
      </c>
      <c r="DI361" t="s">
        <v>6</v>
      </c>
      <c r="DJ361" t="s">
        <v>6</v>
      </c>
      <c r="DK361" t="s">
        <v>6</v>
      </c>
      <c r="DL361" t="s">
        <v>6</v>
      </c>
      <c r="DM361" t="s">
        <v>6</v>
      </c>
      <c r="DN361">
        <v>0</v>
      </c>
      <c r="DO361">
        <v>0</v>
      </c>
      <c r="DP361">
        <v>1</v>
      </c>
      <c r="DQ361">
        <v>1</v>
      </c>
      <c r="DU361">
        <v>1013</v>
      </c>
      <c r="DV361" t="s">
        <v>20</v>
      </c>
      <c r="DW361" t="s">
        <v>20</v>
      </c>
      <c r="DX361">
        <v>1</v>
      </c>
      <c r="DZ361" t="s">
        <v>6</v>
      </c>
      <c r="EA361" t="s">
        <v>6</v>
      </c>
      <c r="EB361" t="s">
        <v>6</v>
      </c>
      <c r="EC361" t="s">
        <v>6</v>
      </c>
      <c r="EE361">
        <v>40604507</v>
      </c>
      <c r="EF361">
        <v>4</v>
      </c>
      <c r="EG361" t="s">
        <v>230</v>
      </c>
      <c r="EH361">
        <v>83</v>
      </c>
      <c r="EI361" t="s">
        <v>230</v>
      </c>
      <c r="EJ361">
        <v>4</v>
      </c>
      <c r="EK361">
        <v>200001</v>
      </c>
      <c r="EL361" t="s">
        <v>231</v>
      </c>
      <c r="EM361" t="s">
        <v>232</v>
      </c>
      <c r="EO361" t="s">
        <v>6</v>
      </c>
      <c r="EQ361">
        <v>0</v>
      </c>
      <c r="ER361">
        <v>0</v>
      </c>
      <c r="ES361">
        <v>0</v>
      </c>
      <c r="ET361">
        <v>0</v>
      </c>
      <c r="EU361">
        <v>0</v>
      </c>
      <c r="EV361">
        <v>0</v>
      </c>
      <c r="EW361">
        <v>1.62</v>
      </c>
      <c r="EX361">
        <v>0</v>
      </c>
      <c r="EY361">
        <v>0</v>
      </c>
      <c r="FQ361">
        <v>0</v>
      </c>
      <c r="FR361">
        <f>ROUND(IF(BI361=3,GM361,0),2)</f>
        <v>0</v>
      </c>
      <c r="FS361">
        <v>0</v>
      </c>
      <c r="FX361">
        <v>74</v>
      </c>
      <c r="FY361">
        <v>36</v>
      </c>
      <c r="GA361" t="s">
        <v>6</v>
      </c>
      <c r="GD361">
        <v>1</v>
      </c>
      <c r="GF361">
        <v>-1299208323</v>
      </c>
      <c r="GG361">
        <v>2</v>
      </c>
      <c r="GH361">
        <v>1</v>
      </c>
      <c r="GI361">
        <v>-2</v>
      </c>
      <c r="GJ361">
        <v>0</v>
      </c>
      <c r="GK361">
        <v>0</v>
      </c>
      <c r="GL361">
        <f>ROUND(IF(AND(BH361=3,BI361=3,FS361&lt;&gt;0),P361,0),2)</f>
        <v>0</v>
      </c>
      <c r="GM361">
        <f>ROUND(O361+X361+Y361,2)+GX361</f>
        <v>5479.07</v>
      </c>
      <c r="GN361">
        <f>IF(OR(BI361=0,BI361=1),GM361,0)</f>
        <v>0</v>
      </c>
      <c r="GO361">
        <f>IF(BI361=2,GM361,0)</f>
        <v>0</v>
      </c>
      <c r="GP361">
        <f>IF(BI361=4,GM361+GX361,0)</f>
        <v>5479.07</v>
      </c>
      <c r="GR361">
        <v>0</v>
      </c>
      <c r="GS361">
        <v>3</v>
      </c>
      <c r="GT361">
        <v>0</v>
      </c>
      <c r="GU361" t="s">
        <v>6</v>
      </c>
      <c r="GV361">
        <f>ROUND((GT361),2)</f>
        <v>0</v>
      </c>
      <c r="GW361">
        <v>1</v>
      </c>
      <c r="GX361">
        <f>ROUND(HC361*I361,2)</f>
        <v>0</v>
      </c>
      <c r="HA361">
        <v>0</v>
      </c>
      <c r="HB361">
        <v>0</v>
      </c>
      <c r="HC361">
        <f>GV361*GW361</f>
        <v>0</v>
      </c>
      <c r="HE361" t="s">
        <v>6</v>
      </c>
      <c r="HF361" t="s">
        <v>6</v>
      </c>
      <c r="HM361" t="s">
        <v>6</v>
      </c>
      <c r="HN361" t="s">
        <v>233</v>
      </c>
      <c r="HO361" t="s">
        <v>234</v>
      </c>
      <c r="HP361" t="s">
        <v>230</v>
      </c>
      <c r="HQ361" t="s">
        <v>230</v>
      </c>
      <c r="IK361">
        <v>0</v>
      </c>
    </row>
    <row r="363" spans="1:245">
      <c r="A363" s="2">
        <v>51</v>
      </c>
      <c r="B363" s="2">
        <f>B354</f>
        <v>1</v>
      </c>
      <c r="C363" s="2">
        <f>A354</f>
        <v>4</v>
      </c>
      <c r="D363" s="2">
        <f>ROW(A354)</f>
        <v>354</v>
      </c>
      <c r="E363" s="2"/>
      <c r="F363" s="2" t="str">
        <f>IF(F354&lt;&gt;"",F354,"")</f>
        <v>Новый раздел</v>
      </c>
      <c r="G363" s="2" t="str">
        <f>IF(G354&lt;&gt;"",G354,"")</f>
        <v>Пуско-наладочные работы</v>
      </c>
      <c r="H363" s="2">
        <v>0</v>
      </c>
      <c r="I363" s="2"/>
      <c r="J363" s="2"/>
      <c r="K363" s="2"/>
      <c r="L363" s="2"/>
      <c r="M363" s="2"/>
      <c r="N363" s="2"/>
      <c r="O363" s="2">
        <f t="shared" ref="O363:T363" si="184">ROUND(AB363,2)</f>
        <v>8308.9500000000007</v>
      </c>
      <c r="P363" s="2">
        <f t="shared" si="184"/>
        <v>0</v>
      </c>
      <c r="Q363" s="2">
        <f t="shared" si="184"/>
        <v>0</v>
      </c>
      <c r="R363" s="2">
        <f t="shared" si="184"/>
        <v>0</v>
      </c>
      <c r="S363" s="2">
        <f t="shared" si="184"/>
        <v>8308.9500000000007</v>
      </c>
      <c r="T363" s="2">
        <f t="shared" si="184"/>
        <v>0</v>
      </c>
      <c r="U363" s="2">
        <f>AH363</f>
        <v>20.96</v>
      </c>
      <c r="V363" s="2">
        <f>AI363</f>
        <v>0</v>
      </c>
      <c r="W363" s="2">
        <f>ROUND(AJ363,2)</f>
        <v>0</v>
      </c>
      <c r="X363" s="2">
        <f>ROUND(AK363,2)</f>
        <v>6148.62</v>
      </c>
      <c r="Y363" s="2">
        <f>ROUND(AL363,2)</f>
        <v>2991.22</v>
      </c>
      <c r="Z363" s="2"/>
      <c r="AA363" s="2"/>
      <c r="AB363" s="2">
        <f>ROUND(SUMIF(AA358:AA361,"=41853493",O358:O361),2)</f>
        <v>8308.9500000000007</v>
      </c>
      <c r="AC363" s="2">
        <f>ROUND(SUMIF(AA358:AA361,"=41853493",P358:P361),2)</f>
        <v>0</v>
      </c>
      <c r="AD363" s="2">
        <f>ROUND(SUMIF(AA358:AA361,"=41853493",Q358:Q361),2)</f>
        <v>0</v>
      </c>
      <c r="AE363" s="2">
        <f>ROUND(SUMIF(AA358:AA361,"=41853493",R358:R361),2)</f>
        <v>0</v>
      </c>
      <c r="AF363" s="2">
        <f>ROUND(SUMIF(AA358:AA361,"=41853493",S358:S361),2)</f>
        <v>8308.9500000000007</v>
      </c>
      <c r="AG363" s="2">
        <f>ROUND(SUMIF(AA358:AA361,"=41853493",T358:T361),2)</f>
        <v>0</v>
      </c>
      <c r="AH363" s="2">
        <f>SUMIF(AA358:AA361,"=41853493",U358:U361)</f>
        <v>20.96</v>
      </c>
      <c r="AI363" s="2">
        <f>SUMIF(AA358:AA361,"=41853493",V358:V361)</f>
        <v>0</v>
      </c>
      <c r="AJ363" s="2">
        <f>ROUND(SUMIF(AA358:AA361,"=41853493",W358:W361),2)</f>
        <v>0</v>
      </c>
      <c r="AK363" s="2">
        <f>ROUND(SUMIF(AA358:AA361,"=41853493",X358:X361),2)</f>
        <v>6148.62</v>
      </c>
      <c r="AL363" s="2">
        <f>ROUND(SUMIF(AA358:AA361,"=41853493",Y358:Y361),2)</f>
        <v>2991.22</v>
      </c>
      <c r="AM363" s="2"/>
      <c r="AN363" s="2"/>
      <c r="AO363" s="2">
        <f t="shared" ref="AO363:BD363" si="185">ROUND(BX363,2)</f>
        <v>0</v>
      </c>
      <c r="AP363" s="2">
        <f t="shared" si="185"/>
        <v>0</v>
      </c>
      <c r="AQ363" s="2">
        <f t="shared" si="185"/>
        <v>0</v>
      </c>
      <c r="AR363" s="2">
        <f t="shared" si="185"/>
        <v>17448.79</v>
      </c>
      <c r="AS363" s="2">
        <f t="shared" si="185"/>
        <v>0</v>
      </c>
      <c r="AT363" s="2">
        <f t="shared" si="185"/>
        <v>0</v>
      </c>
      <c r="AU363" s="2">
        <f t="shared" si="185"/>
        <v>17448.79</v>
      </c>
      <c r="AV363" s="2">
        <f t="shared" si="185"/>
        <v>0</v>
      </c>
      <c r="AW363" s="2">
        <f t="shared" si="185"/>
        <v>0</v>
      </c>
      <c r="AX363" s="2">
        <f t="shared" si="185"/>
        <v>0</v>
      </c>
      <c r="AY363" s="2">
        <f t="shared" si="185"/>
        <v>0</v>
      </c>
      <c r="AZ363" s="2">
        <f t="shared" si="185"/>
        <v>0</v>
      </c>
      <c r="BA363" s="2">
        <f t="shared" si="185"/>
        <v>0</v>
      </c>
      <c r="BB363" s="2">
        <f t="shared" si="185"/>
        <v>0</v>
      </c>
      <c r="BC363" s="2">
        <f t="shared" si="185"/>
        <v>0</v>
      </c>
      <c r="BD363" s="2">
        <f t="shared" si="185"/>
        <v>0</v>
      </c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>
        <f>ROUND(SUMIF(AA358:AA361,"=41853493",FQ358:FQ361),2)</f>
        <v>0</v>
      </c>
      <c r="BY363" s="2">
        <f>ROUND(SUMIF(AA358:AA361,"=41853493",FR358:FR361),2)</f>
        <v>0</v>
      </c>
      <c r="BZ363" s="2">
        <f>ROUND(SUMIF(AA358:AA361,"=41853493",GL358:GL361),2)</f>
        <v>0</v>
      </c>
      <c r="CA363" s="2">
        <f>ROUND(SUMIF(AA358:AA361,"=41853493",GM358:GM361),2)</f>
        <v>17448.79</v>
      </c>
      <c r="CB363" s="2">
        <f>ROUND(SUMIF(AA358:AA361,"=41853493",GN358:GN361),2)</f>
        <v>0</v>
      </c>
      <c r="CC363" s="2">
        <f>ROUND(SUMIF(AA358:AA361,"=41853493",GO358:GO361),2)</f>
        <v>0</v>
      </c>
      <c r="CD363" s="2">
        <f>ROUND(SUMIF(AA358:AA361,"=41853493",GP358:GP361),2)</f>
        <v>17448.79</v>
      </c>
      <c r="CE363" s="2">
        <f>AC363-BX363</f>
        <v>0</v>
      </c>
      <c r="CF363" s="2">
        <f>AC363-BY363</f>
        <v>0</v>
      </c>
      <c r="CG363" s="2">
        <f>BX363-BZ363</f>
        <v>0</v>
      </c>
      <c r="CH363" s="2">
        <f>AC363-BX363-BY363+BZ363</f>
        <v>0</v>
      </c>
      <c r="CI363" s="2">
        <f>BY363-BZ363</f>
        <v>0</v>
      </c>
      <c r="CJ363" s="2">
        <f>ROUND(SUMIF(AA358:AA361,"=41853493",GX358:GX361),2)</f>
        <v>0</v>
      </c>
      <c r="CK363" s="2">
        <f>ROUND(SUMIF(AA358:AA361,"=41853493",GY358:GY361),2)</f>
        <v>0</v>
      </c>
      <c r="CL363" s="2">
        <f>ROUND(SUMIF(AA358:AA361,"=41853493",GZ358:GZ361),2)</f>
        <v>0</v>
      </c>
      <c r="CM363" s="2">
        <f>ROUND(SUMIF(AA358:AA361,"=41853493",HD358:HD361),2)</f>
        <v>0</v>
      </c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  <c r="GU363" s="3"/>
      <c r="GV363" s="3"/>
      <c r="GW363" s="3"/>
      <c r="GX363" s="3">
        <v>0</v>
      </c>
    </row>
    <row r="365" spans="1:245">
      <c r="A365" s="4">
        <v>50</v>
      </c>
      <c r="B365" s="4">
        <v>1</v>
      </c>
      <c r="C365" s="4">
        <v>0</v>
      </c>
      <c r="D365" s="4">
        <v>1</v>
      </c>
      <c r="E365" s="4">
        <v>201</v>
      </c>
      <c r="F365" s="4">
        <f>ROUND(Source!O363,O365)</f>
        <v>8308.9500000000007</v>
      </c>
      <c r="G365" s="4" t="s">
        <v>47</v>
      </c>
      <c r="H365" s="4" t="s">
        <v>48</v>
      </c>
      <c r="I365" s="4"/>
      <c r="J365" s="4"/>
      <c r="K365" s="4">
        <v>201</v>
      </c>
      <c r="L365" s="4">
        <v>1</v>
      </c>
      <c r="M365" s="4">
        <v>1</v>
      </c>
      <c r="N365" s="4" t="s">
        <v>6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8308.9499999999989</v>
      </c>
      <c r="X365" s="4">
        <v>1</v>
      </c>
      <c r="Y365" s="4">
        <v>8308.9499999999989</v>
      </c>
      <c r="Z365" s="4"/>
      <c r="AA365" s="4"/>
      <c r="AB365" s="4"/>
    </row>
    <row r="366" spans="1:245">
      <c r="A366" s="4">
        <v>50</v>
      </c>
      <c r="B366" s="4">
        <v>0</v>
      </c>
      <c r="C366" s="4">
        <v>0</v>
      </c>
      <c r="D366" s="4">
        <v>1</v>
      </c>
      <c r="E366" s="4">
        <v>202</v>
      </c>
      <c r="F366" s="4">
        <f>ROUND(Source!P363,O366)</f>
        <v>0</v>
      </c>
      <c r="G366" s="4" t="s">
        <v>49</v>
      </c>
      <c r="H366" s="4" t="s">
        <v>50</v>
      </c>
      <c r="I366" s="4"/>
      <c r="J366" s="4"/>
      <c r="K366" s="4">
        <v>202</v>
      </c>
      <c r="L366" s="4">
        <v>2</v>
      </c>
      <c r="M366" s="4">
        <v>1</v>
      </c>
      <c r="N366" s="4" t="s">
        <v>6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>
      <c r="A367" s="4">
        <v>50</v>
      </c>
      <c r="B367" s="4">
        <v>0</v>
      </c>
      <c r="C367" s="4">
        <v>0</v>
      </c>
      <c r="D367" s="4">
        <v>1</v>
      </c>
      <c r="E367" s="4">
        <v>222</v>
      </c>
      <c r="F367" s="4">
        <f>ROUND(Source!AO363,O367)</f>
        <v>0</v>
      </c>
      <c r="G367" s="4" t="s">
        <v>51</v>
      </c>
      <c r="H367" s="4" t="s">
        <v>52</v>
      </c>
      <c r="I367" s="4"/>
      <c r="J367" s="4"/>
      <c r="K367" s="4">
        <v>222</v>
      </c>
      <c r="L367" s="4">
        <v>3</v>
      </c>
      <c r="M367" s="4">
        <v>3</v>
      </c>
      <c r="N367" s="4" t="s">
        <v>6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>
      <c r="A368" s="4">
        <v>50</v>
      </c>
      <c r="B368" s="4">
        <v>0</v>
      </c>
      <c r="C368" s="4">
        <v>0</v>
      </c>
      <c r="D368" s="4">
        <v>1</v>
      </c>
      <c r="E368" s="4">
        <v>225</v>
      </c>
      <c r="F368" s="4">
        <f>ROUND(Source!AV363,O368)</f>
        <v>0</v>
      </c>
      <c r="G368" s="4" t="s">
        <v>53</v>
      </c>
      <c r="H368" s="4" t="s">
        <v>54</v>
      </c>
      <c r="I368" s="4"/>
      <c r="J368" s="4"/>
      <c r="K368" s="4">
        <v>225</v>
      </c>
      <c r="L368" s="4">
        <v>4</v>
      </c>
      <c r="M368" s="4">
        <v>3</v>
      </c>
      <c r="N368" s="4" t="s">
        <v>6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>
      <c r="A369" s="4">
        <v>50</v>
      </c>
      <c r="B369" s="4">
        <v>0</v>
      </c>
      <c r="C369" s="4">
        <v>0</v>
      </c>
      <c r="D369" s="4">
        <v>1</v>
      </c>
      <c r="E369" s="4">
        <v>226</v>
      </c>
      <c r="F369" s="4">
        <f>ROUND(Source!AW363,O369)</f>
        <v>0</v>
      </c>
      <c r="G369" s="4" t="s">
        <v>55</v>
      </c>
      <c r="H369" s="4" t="s">
        <v>56</v>
      </c>
      <c r="I369" s="4"/>
      <c r="J369" s="4"/>
      <c r="K369" s="4">
        <v>226</v>
      </c>
      <c r="L369" s="4">
        <v>5</v>
      </c>
      <c r="M369" s="4">
        <v>3</v>
      </c>
      <c r="N369" s="4" t="s">
        <v>6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>
      <c r="A370" s="4">
        <v>50</v>
      </c>
      <c r="B370" s="4">
        <v>0</v>
      </c>
      <c r="C370" s="4">
        <v>0</v>
      </c>
      <c r="D370" s="4">
        <v>1</v>
      </c>
      <c r="E370" s="4">
        <v>227</v>
      </c>
      <c r="F370" s="4">
        <f>ROUND(Source!AX363,O370)</f>
        <v>0</v>
      </c>
      <c r="G370" s="4" t="s">
        <v>57</v>
      </c>
      <c r="H370" s="4" t="s">
        <v>58</v>
      </c>
      <c r="I370" s="4"/>
      <c r="J370" s="4"/>
      <c r="K370" s="4">
        <v>227</v>
      </c>
      <c r="L370" s="4">
        <v>6</v>
      </c>
      <c r="M370" s="4">
        <v>3</v>
      </c>
      <c r="N370" s="4" t="s">
        <v>6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>
      <c r="A371" s="4">
        <v>50</v>
      </c>
      <c r="B371" s="4">
        <v>0</v>
      </c>
      <c r="C371" s="4">
        <v>0</v>
      </c>
      <c r="D371" s="4">
        <v>1</v>
      </c>
      <c r="E371" s="4">
        <v>228</v>
      </c>
      <c r="F371" s="4">
        <f>ROUND(Source!AY363,O371)</f>
        <v>0</v>
      </c>
      <c r="G371" s="4" t="s">
        <v>59</v>
      </c>
      <c r="H371" s="4" t="s">
        <v>60</v>
      </c>
      <c r="I371" s="4"/>
      <c r="J371" s="4"/>
      <c r="K371" s="4">
        <v>228</v>
      </c>
      <c r="L371" s="4">
        <v>7</v>
      </c>
      <c r="M371" s="4">
        <v>3</v>
      </c>
      <c r="N371" s="4" t="s">
        <v>6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>
      <c r="A372" s="4">
        <v>50</v>
      </c>
      <c r="B372" s="4">
        <v>0</v>
      </c>
      <c r="C372" s="4">
        <v>0</v>
      </c>
      <c r="D372" s="4">
        <v>1</v>
      </c>
      <c r="E372" s="4">
        <v>216</v>
      </c>
      <c r="F372" s="4">
        <f>ROUND(Source!AP363,O372)</f>
        <v>0</v>
      </c>
      <c r="G372" s="4" t="s">
        <v>61</v>
      </c>
      <c r="H372" s="4" t="s">
        <v>62</v>
      </c>
      <c r="I372" s="4"/>
      <c r="J372" s="4"/>
      <c r="K372" s="4">
        <v>216</v>
      </c>
      <c r="L372" s="4">
        <v>8</v>
      </c>
      <c r="M372" s="4">
        <v>3</v>
      </c>
      <c r="N372" s="4" t="s">
        <v>6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>
      <c r="A373" s="4">
        <v>50</v>
      </c>
      <c r="B373" s="4">
        <v>0</v>
      </c>
      <c r="C373" s="4">
        <v>0</v>
      </c>
      <c r="D373" s="4">
        <v>1</v>
      </c>
      <c r="E373" s="4">
        <v>223</v>
      </c>
      <c r="F373" s="4">
        <f>ROUND(Source!AQ363,O373)</f>
        <v>0</v>
      </c>
      <c r="G373" s="4" t="s">
        <v>63</v>
      </c>
      <c r="H373" s="4" t="s">
        <v>64</v>
      </c>
      <c r="I373" s="4"/>
      <c r="J373" s="4"/>
      <c r="K373" s="4">
        <v>223</v>
      </c>
      <c r="L373" s="4">
        <v>9</v>
      </c>
      <c r="M373" s="4">
        <v>3</v>
      </c>
      <c r="N373" s="4" t="s">
        <v>6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>
      <c r="A374" s="4">
        <v>50</v>
      </c>
      <c r="B374" s="4">
        <v>0</v>
      </c>
      <c r="C374" s="4">
        <v>0</v>
      </c>
      <c r="D374" s="4">
        <v>1</v>
      </c>
      <c r="E374" s="4">
        <v>229</v>
      </c>
      <c r="F374" s="4">
        <f>ROUND(Source!AZ363,O374)</f>
        <v>0</v>
      </c>
      <c r="G374" s="4" t="s">
        <v>65</v>
      </c>
      <c r="H374" s="4" t="s">
        <v>66</v>
      </c>
      <c r="I374" s="4"/>
      <c r="J374" s="4"/>
      <c r="K374" s="4">
        <v>229</v>
      </c>
      <c r="L374" s="4">
        <v>10</v>
      </c>
      <c r="M374" s="4">
        <v>3</v>
      </c>
      <c r="N374" s="4" t="s">
        <v>6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>
      <c r="A375" s="4">
        <v>50</v>
      </c>
      <c r="B375" s="4">
        <v>0</v>
      </c>
      <c r="C375" s="4">
        <v>0</v>
      </c>
      <c r="D375" s="4">
        <v>1</v>
      </c>
      <c r="E375" s="4">
        <v>203</v>
      </c>
      <c r="F375" s="4">
        <f>ROUND(Source!Q363,O375)</f>
        <v>0</v>
      </c>
      <c r="G375" s="4" t="s">
        <v>67</v>
      </c>
      <c r="H375" s="4" t="s">
        <v>68</v>
      </c>
      <c r="I375" s="4"/>
      <c r="J375" s="4"/>
      <c r="K375" s="4">
        <v>203</v>
      </c>
      <c r="L375" s="4">
        <v>11</v>
      </c>
      <c r="M375" s="4">
        <v>1</v>
      </c>
      <c r="N375" s="4" t="s">
        <v>6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>
      <c r="A376" s="4">
        <v>50</v>
      </c>
      <c r="B376" s="4">
        <v>0</v>
      </c>
      <c r="C376" s="4">
        <v>0</v>
      </c>
      <c r="D376" s="4">
        <v>1</v>
      </c>
      <c r="E376" s="4">
        <v>231</v>
      </c>
      <c r="F376" s="4">
        <f>ROUND(Source!BB363,O376)</f>
        <v>0</v>
      </c>
      <c r="G376" s="4" t="s">
        <v>69</v>
      </c>
      <c r="H376" s="4" t="s">
        <v>70</v>
      </c>
      <c r="I376" s="4"/>
      <c r="J376" s="4"/>
      <c r="K376" s="4">
        <v>231</v>
      </c>
      <c r="L376" s="4">
        <v>12</v>
      </c>
      <c r="M376" s="4">
        <v>3</v>
      </c>
      <c r="N376" s="4" t="s">
        <v>6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>
      <c r="A377" s="4">
        <v>50</v>
      </c>
      <c r="B377" s="4">
        <v>0</v>
      </c>
      <c r="C377" s="4">
        <v>0</v>
      </c>
      <c r="D377" s="4">
        <v>1</v>
      </c>
      <c r="E377" s="4">
        <v>204</v>
      </c>
      <c r="F377" s="4">
        <f>ROUND(Source!R363,O377)</f>
        <v>0</v>
      </c>
      <c r="G377" s="4" t="s">
        <v>71</v>
      </c>
      <c r="H377" s="4" t="s">
        <v>72</v>
      </c>
      <c r="I377" s="4"/>
      <c r="J377" s="4"/>
      <c r="K377" s="4">
        <v>204</v>
      </c>
      <c r="L377" s="4">
        <v>13</v>
      </c>
      <c r="M377" s="4">
        <v>1</v>
      </c>
      <c r="N377" s="4" t="s">
        <v>6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>
      <c r="A378" s="4">
        <v>50</v>
      </c>
      <c r="B378" s="4">
        <v>1</v>
      </c>
      <c r="C378" s="4">
        <v>0</v>
      </c>
      <c r="D378" s="4">
        <v>1</v>
      </c>
      <c r="E378" s="4">
        <v>205</v>
      </c>
      <c r="F378" s="4">
        <f>ROUND(Source!S363,O378)</f>
        <v>8308.9500000000007</v>
      </c>
      <c r="G378" s="4" t="s">
        <v>73</v>
      </c>
      <c r="H378" s="4" t="s">
        <v>74</v>
      </c>
      <c r="I378" s="4"/>
      <c r="J378" s="4"/>
      <c r="K378" s="4">
        <v>205</v>
      </c>
      <c r="L378" s="4">
        <v>14</v>
      </c>
      <c r="M378" s="4">
        <v>1</v>
      </c>
      <c r="N378" s="4" t="s">
        <v>6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8308.9499999999989</v>
      </c>
      <c r="X378" s="4">
        <v>1</v>
      </c>
      <c r="Y378" s="4">
        <v>8308.9499999999989</v>
      </c>
      <c r="Z378" s="4"/>
      <c r="AA378" s="4"/>
      <c r="AB378" s="4"/>
    </row>
    <row r="379" spans="1:28">
      <c r="A379" s="4">
        <v>50</v>
      </c>
      <c r="B379" s="4">
        <v>0</v>
      </c>
      <c r="C379" s="4">
        <v>0</v>
      </c>
      <c r="D379" s="4">
        <v>1</v>
      </c>
      <c r="E379" s="4">
        <v>232</v>
      </c>
      <c r="F379" s="4">
        <f>ROUND(Source!BC363,O379)</f>
        <v>0</v>
      </c>
      <c r="G379" s="4" t="s">
        <v>75</v>
      </c>
      <c r="H379" s="4" t="s">
        <v>76</v>
      </c>
      <c r="I379" s="4"/>
      <c r="J379" s="4"/>
      <c r="K379" s="4">
        <v>232</v>
      </c>
      <c r="L379" s="4">
        <v>15</v>
      </c>
      <c r="M379" s="4">
        <v>3</v>
      </c>
      <c r="N379" s="4" t="s">
        <v>6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>
      <c r="A380" s="4">
        <v>50</v>
      </c>
      <c r="B380" s="4">
        <v>0</v>
      </c>
      <c r="C380" s="4">
        <v>0</v>
      </c>
      <c r="D380" s="4">
        <v>1</v>
      </c>
      <c r="E380" s="4">
        <v>214</v>
      </c>
      <c r="F380" s="4">
        <f>ROUND(Source!AS363,O380)</f>
        <v>0</v>
      </c>
      <c r="G380" s="4" t="s">
        <v>77</v>
      </c>
      <c r="H380" s="4" t="s">
        <v>78</v>
      </c>
      <c r="I380" s="4"/>
      <c r="J380" s="4"/>
      <c r="K380" s="4">
        <v>214</v>
      </c>
      <c r="L380" s="4">
        <v>16</v>
      </c>
      <c r="M380" s="4">
        <v>3</v>
      </c>
      <c r="N380" s="4" t="s">
        <v>6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>
      <c r="A381" s="4">
        <v>50</v>
      </c>
      <c r="B381" s="4">
        <v>0</v>
      </c>
      <c r="C381" s="4">
        <v>0</v>
      </c>
      <c r="D381" s="4">
        <v>1</v>
      </c>
      <c r="E381" s="4">
        <v>215</v>
      </c>
      <c r="F381" s="4">
        <f>ROUND(Source!AT363,O381)</f>
        <v>0</v>
      </c>
      <c r="G381" s="4" t="s">
        <v>79</v>
      </c>
      <c r="H381" s="4" t="s">
        <v>80</v>
      </c>
      <c r="I381" s="4"/>
      <c r="J381" s="4"/>
      <c r="K381" s="4">
        <v>215</v>
      </c>
      <c r="L381" s="4">
        <v>17</v>
      </c>
      <c r="M381" s="4">
        <v>3</v>
      </c>
      <c r="N381" s="4" t="s">
        <v>6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>
      <c r="A382" s="4">
        <v>50</v>
      </c>
      <c r="B382" s="4">
        <v>0</v>
      </c>
      <c r="C382" s="4">
        <v>0</v>
      </c>
      <c r="D382" s="4">
        <v>1</v>
      </c>
      <c r="E382" s="4">
        <v>217</v>
      </c>
      <c r="F382" s="4">
        <f>ROUND(Source!AU363,O382)</f>
        <v>17448.79</v>
      </c>
      <c r="G382" s="4" t="s">
        <v>81</v>
      </c>
      <c r="H382" s="4" t="s">
        <v>82</v>
      </c>
      <c r="I382" s="4"/>
      <c r="J382" s="4"/>
      <c r="K382" s="4">
        <v>217</v>
      </c>
      <c r="L382" s="4">
        <v>18</v>
      </c>
      <c r="M382" s="4">
        <v>3</v>
      </c>
      <c r="N382" s="4" t="s">
        <v>6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17448.79</v>
      </c>
      <c r="X382" s="4">
        <v>1</v>
      </c>
      <c r="Y382" s="4">
        <v>17448.79</v>
      </c>
      <c r="Z382" s="4"/>
      <c r="AA382" s="4"/>
      <c r="AB382" s="4"/>
    </row>
    <row r="383" spans="1:28">
      <c r="A383" s="4">
        <v>50</v>
      </c>
      <c r="B383" s="4">
        <v>0</v>
      </c>
      <c r="C383" s="4">
        <v>0</v>
      </c>
      <c r="D383" s="4">
        <v>1</v>
      </c>
      <c r="E383" s="4">
        <v>230</v>
      </c>
      <c r="F383" s="4">
        <f>ROUND(Source!BA363,O383)</f>
        <v>0</v>
      </c>
      <c r="G383" s="4" t="s">
        <v>83</v>
      </c>
      <c r="H383" s="4" t="s">
        <v>84</v>
      </c>
      <c r="I383" s="4"/>
      <c r="J383" s="4"/>
      <c r="K383" s="4">
        <v>230</v>
      </c>
      <c r="L383" s="4">
        <v>19</v>
      </c>
      <c r="M383" s="4">
        <v>3</v>
      </c>
      <c r="N383" s="4" t="s">
        <v>6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>
      <c r="A384" s="4">
        <v>50</v>
      </c>
      <c r="B384" s="4">
        <v>0</v>
      </c>
      <c r="C384" s="4">
        <v>0</v>
      </c>
      <c r="D384" s="4">
        <v>1</v>
      </c>
      <c r="E384" s="4">
        <v>206</v>
      </c>
      <c r="F384" s="4">
        <f>ROUND(Source!T363,O384)</f>
        <v>0</v>
      </c>
      <c r="G384" s="4" t="s">
        <v>85</v>
      </c>
      <c r="H384" s="4" t="s">
        <v>86</v>
      </c>
      <c r="I384" s="4"/>
      <c r="J384" s="4"/>
      <c r="K384" s="4">
        <v>206</v>
      </c>
      <c r="L384" s="4">
        <v>20</v>
      </c>
      <c r="M384" s="4">
        <v>3</v>
      </c>
      <c r="N384" s="4" t="s">
        <v>6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>
      <c r="A385" s="4">
        <v>50</v>
      </c>
      <c r="B385" s="4">
        <v>0</v>
      </c>
      <c r="C385" s="4">
        <v>0</v>
      </c>
      <c r="D385" s="4">
        <v>1</v>
      </c>
      <c r="E385" s="4">
        <v>207</v>
      </c>
      <c r="F385" s="4">
        <f>Source!U363</f>
        <v>20.96</v>
      </c>
      <c r="G385" s="4" t="s">
        <v>87</v>
      </c>
      <c r="H385" s="4" t="s">
        <v>88</v>
      </c>
      <c r="I385" s="4"/>
      <c r="J385" s="4"/>
      <c r="K385" s="4">
        <v>207</v>
      </c>
      <c r="L385" s="4">
        <v>21</v>
      </c>
      <c r="M385" s="4">
        <v>3</v>
      </c>
      <c r="N385" s="4" t="s">
        <v>6</v>
      </c>
      <c r="O385" s="4">
        <v>-1</v>
      </c>
      <c r="P385" s="4"/>
      <c r="Q385" s="4"/>
      <c r="R385" s="4"/>
      <c r="S385" s="4"/>
      <c r="T385" s="4"/>
      <c r="U385" s="4"/>
      <c r="V385" s="4"/>
      <c r="W385" s="4">
        <v>20.96</v>
      </c>
      <c r="X385" s="4">
        <v>1</v>
      </c>
      <c r="Y385" s="4">
        <v>20.96</v>
      </c>
      <c r="Z385" s="4"/>
      <c r="AA385" s="4"/>
      <c r="AB385" s="4"/>
    </row>
    <row r="386" spans="1:28">
      <c r="A386" s="4">
        <v>50</v>
      </c>
      <c r="B386" s="4">
        <v>0</v>
      </c>
      <c r="C386" s="4">
        <v>0</v>
      </c>
      <c r="D386" s="4">
        <v>1</v>
      </c>
      <c r="E386" s="4">
        <v>208</v>
      </c>
      <c r="F386" s="4">
        <f>Source!V363</f>
        <v>0</v>
      </c>
      <c r="G386" s="4" t="s">
        <v>89</v>
      </c>
      <c r="H386" s="4" t="s">
        <v>90</v>
      </c>
      <c r="I386" s="4"/>
      <c r="J386" s="4"/>
      <c r="K386" s="4">
        <v>208</v>
      </c>
      <c r="L386" s="4">
        <v>22</v>
      </c>
      <c r="M386" s="4">
        <v>3</v>
      </c>
      <c r="N386" s="4" t="s">
        <v>6</v>
      </c>
      <c r="O386" s="4">
        <v>-1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>
      <c r="A387" s="4">
        <v>50</v>
      </c>
      <c r="B387" s="4">
        <v>0</v>
      </c>
      <c r="C387" s="4">
        <v>0</v>
      </c>
      <c r="D387" s="4">
        <v>1</v>
      </c>
      <c r="E387" s="4">
        <v>209</v>
      </c>
      <c r="F387" s="4">
        <f>ROUND(Source!W363,O387)</f>
        <v>0</v>
      </c>
      <c r="G387" s="4" t="s">
        <v>91</v>
      </c>
      <c r="H387" s="4" t="s">
        <v>92</v>
      </c>
      <c r="I387" s="4"/>
      <c r="J387" s="4"/>
      <c r="K387" s="4">
        <v>209</v>
      </c>
      <c r="L387" s="4">
        <v>23</v>
      </c>
      <c r="M387" s="4">
        <v>3</v>
      </c>
      <c r="N387" s="4" t="s">
        <v>6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>
      <c r="A388" s="4">
        <v>50</v>
      </c>
      <c r="B388" s="4">
        <v>0</v>
      </c>
      <c r="C388" s="4">
        <v>0</v>
      </c>
      <c r="D388" s="4">
        <v>1</v>
      </c>
      <c r="E388" s="4">
        <v>233</v>
      </c>
      <c r="F388" s="4">
        <f>ROUND(Source!BD363,O388)</f>
        <v>0</v>
      </c>
      <c r="G388" s="4" t="s">
        <v>93</v>
      </c>
      <c r="H388" s="4" t="s">
        <v>94</v>
      </c>
      <c r="I388" s="4"/>
      <c r="J388" s="4"/>
      <c r="K388" s="4">
        <v>233</v>
      </c>
      <c r="L388" s="4">
        <v>24</v>
      </c>
      <c r="M388" s="4">
        <v>3</v>
      </c>
      <c r="N388" s="4" t="s">
        <v>6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>
      <c r="A389" s="4">
        <v>50</v>
      </c>
      <c r="B389" s="4">
        <v>1</v>
      </c>
      <c r="C389" s="4">
        <v>0</v>
      </c>
      <c r="D389" s="4">
        <v>1</v>
      </c>
      <c r="E389" s="4">
        <v>210</v>
      </c>
      <c r="F389" s="4">
        <f>ROUND(Source!X363,O389)</f>
        <v>6148.62</v>
      </c>
      <c r="G389" s="4" t="s">
        <v>95</v>
      </c>
      <c r="H389" s="4" t="s">
        <v>96</v>
      </c>
      <c r="I389" s="4"/>
      <c r="J389" s="4"/>
      <c r="K389" s="4">
        <v>210</v>
      </c>
      <c r="L389" s="4">
        <v>25</v>
      </c>
      <c r="M389" s="4">
        <v>1</v>
      </c>
      <c r="N389" s="4" t="s">
        <v>6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6148.62</v>
      </c>
      <c r="X389" s="4">
        <v>1</v>
      </c>
      <c r="Y389" s="4">
        <v>6148.62</v>
      </c>
      <c r="Z389" s="4"/>
      <c r="AA389" s="4"/>
      <c r="AB389" s="4"/>
    </row>
    <row r="390" spans="1:28">
      <c r="A390" s="4">
        <v>50</v>
      </c>
      <c r="B390" s="4">
        <v>1</v>
      </c>
      <c r="C390" s="4">
        <v>0</v>
      </c>
      <c r="D390" s="4">
        <v>1</v>
      </c>
      <c r="E390" s="4">
        <v>211</v>
      </c>
      <c r="F390" s="4">
        <f>ROUND(Source!Y363,O390)</f>
        <v>2991.22</v>
      </c>
      <c r="G390" s="4" t="s">
        <v>97</v>
      </c>
      <c r="H390" s="4" t="s">
        <v>98</v>
      </c>
      <c r="I390" s="4"/>
      <c r="J390" s="4"/>
      <c r="K390" s="4">
        <v>211</v>
      </c>
      <c r="L390" s="4">
        <v>26</v>
      </c>
      <c r="M390" s="4">
        <v>1</v>
      </c>
      <c r="N390" s="4" t="s">
        <v>6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2991.22</v>
      </c>
      <c r="X390" s="4">
        <v>1</v>
      </c>
      <c r="Y390" s="4">
        <v>2991.22</v>
      </c>
      <c r="Z390" s="4"/>
      <c r="AA390" s="4"/>
      <c r="AB390" s="4"/>
    </row>
    <row r="391" spans="1:28">
      <c r="A391" s="4">
        <v>50</v>
      </c>
      <c r="B391" s="4">
        <v>1</v>
      </c>
      <c r="C391" s="4">
        <v>0</v>
      </c>
      <c r="D391" s="4">
        <v>1</v>
      </c>
      <c r="E391" s="4">
        <v>224</v>
      </c>
      <c r="F391" s="4">
        <f>ROUND(Source!AR363,O391)</f>
        <v>17448.79</v>
      </c>
      <c r="G391" s="4" t="s">
        <v>99</v>
      </c>
      <c r="H391" s="4" t="s">
        <v>100</v>
      </c>
      <c r="I391" s="4"/>
      <c r="J391" s="4"/>
      <c r="K391" s="4">
        <v>224</v>
      </c>
      <c r="L391" s="4">
        <v>27</v>
      </c>
      <c r="M391" s="4">
        <v>1</v>
      </c>
      <c r="N391" s="4" t="s">
        <v>6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17448.79</v>
      </c>
      <c r="X391" s="4">
        <v>1</v>
      </c>
      <c r="Y391" s="4">
        <v>17448.79</v>
      </c>
      <c r="Z391" s="4"/>
      <c r="AA391" s="4"/>
      <c r="AB391" s="4"/>
    </row>
    <row r="392" spans="1:28">
      <c r="A392" s="4">
        <v>50</v>
      </c>
      <c r="B392" s="4">
        <v>0</v>
      </c>
      <c r="C392" s="4">
        <v>0</v>
      </c>
      <c r="D392" s="4">
        <v>2</v>
      </c>
      <c r="E392" s="4">
        <v>0</v>
      </c>
      <c r="F392" s="4">
        <f>0</f>
        <v>0</v>
      </c>
      <c r="G392" s="4" t="s">
        <v>101</v>
      </c>
      <c r="H392" s="4" t="s">
        <v>102</v>
      </c>
      <c r="I392" s="4"/>
      <c r="J392" s="4"/>
      <c r="K392" s="4">
        <v>212</v>
      </c>
      <c r="L392" s="4">
        <v>28</v>
      </c>
      <c r="M392" s="4">
        <v>1</v>
      </c>
      <c r="N392" s="4" t="s">
        <v>6</v>
      </c>
      <c r="O392" s="4">
        <v>-1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>
      <c r="A393" s="4">
        <v>50</v>
      </c>
      <c r="B393" s="4">
        <v>0</v>
      </c>
      <c r="C393" s="4">
        <v>0</v>
      </c>
      <c r="D393" s="4">
        <v>2</v>
      </c>
      <c r="E393" s="4">
        <v>0</v>
      </c>
      <c r="F393" s="4">
        <f>ROUND(IF(F392=0,0,F391/100*F392),O393)</f>
        <v>0</v>
      </c>
      <c r="G393" s="4" t="s">
        <v>103</v>
      </c>
      <c r="H393" s="4" t="s">
        <v>104</v>
      </c>
      <c r="I393" s="4"/>
      <c r="J393" s="4"/>
      <c r="K393" s="4">
        <v>212</v>
      </c>
      <c r="L393" s="4">
        <v>29</v>
      </c>
      <c r="M393" s="4">
        <v>1</v>
      </c>
      <c r="N393" s="4" t="s">
        <v>6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>
      <c r="A394" s="4">
        <v>50</v>
      </c>
      <c r="B394" s="4">
        <v>0</v>
      </c>
      <c r="C394" s="4">
        <v>0</v>
      </c>
      <c r="D394" s="4">
        <v>2</v>
      </c>
      <c r="E394" s="4">
        <v>0</v>
      </c>
      <c r="F394" s="4">
        <f>ROUND(IF(F392=0,0,F391+F393),O394)</f>
        <v>0</v>
      </c>
      <c r="G394" s="4" t="s">
        <v>105</v>
      </c>
      <c r="H394" s="4" t="s">
        <v>106</v>
      </c>
      <c r="I394" s="4"/>
      <c r="J394" s="4"/>
      <c r="K394" s="4">
        <v>212</v>
      </c>
      <c r="L394" s="4">
        <v>30</v>
      </c>
      <c r="M394" s="4">
        <v>1</v>
      </c>
      <c r="N394" s="4" t="s">
        <v>6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>
      <c r="A395" s="4">
        <v>50</v>
      </c>
      <c r="B395" s="4">
        <v>0</v>
      </c>
      <c r="C395" s="4">
        <v>0</v>
      </c>
      <c r="D395" s="4">
        <v>2</v>
      </c>
      <c r="E395" s="4">
        <v>0</v>
      </c>
      <c r="F395" s="4">
        <f>0</f>
        <v>0</v>
      </c>
      <c r="G395" s="4" t="s">
        <v>107</v>
      </c>
      <c r="H395" s="4" t="s">
        <v>108</v>
      </c>
      <c r="I395" s="4"/>
      <c r="J395" s="4"/>
      <c r="K395" s="4">
        <v>212</v>
      </c>
      <c r="L395" s="4">
        <v>31</v>
      </c>
      <c r="M395" s="4">
        <v>1</v>
      </c>
      <c r="N395" s="4" t="s">
        <v>6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>
      <c r="A396" s="4">
        <v>50</v>
      </c>
      <c r="B396" s="4">
        <v>0</v>
      </c>
      <c r="C396" s="4">
        <v>0</v>
      </c>
      <c r="D396" s="4">
        <v>2</v>
      </c>
      <c r="E396" s="4">
        <v>0</v>
      </c>
      <c r="F396" s="4">
        <f>ROUND(IF(F395=0,0,(F391+F393)/100*F395),O396)</f>
        <v>0</v>
      </c>
      <c r="G396" s="4" t="s">
        <v>109</v>
      </c>
      <c r="H396" s="4" t="s">
        <v>110</v>
      </c>
      <c r="I396" s="4"/>
      <c r="J396" s="4"/>
      <c r="K396" s="4">
        <v>212</v>
      </c>
      <c r="L396" s="4">
        <v>32</v>
      </c>
      <c r="M396" s="4">
        <v>1</v>
      </c>
      <c r="N396" s="4" t="s">
        <v>6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>
      <c r="A397" s="4">
        <v>50</v>
      </c>
      <c r="B397" s="4">
        <v>0</v>
      </c>
      <c r="C397" s="4">
        <v>0</v>
      </c>
      <c r="D397" s="4">
        <v>2</v>
      </c>
      <c r="E397" s="4">
        <v>0</v>
      </c>
      <c r="F397" s="4">
        <f>ROUND(IF(F396=0,0,F391+F393+F396),O397)</f>
        <v>0</v>
      </c>
      <c r="G397" s="4" t="s">
        <v>111</v>
      </c>
      <c r="H397" s="4" t="s">
        <v>112</v>
      </c>
      <c r="I397" s="4"/>
      <c r="J397" s="4"/>
      <c r="K397" s="4">
        <v>212</v>
      </c>
      <c r="L397" s="4">
        <v>33</v>
      </c>
      <c r="M397" s="4">
        <v>1</v>
      </c>
      <c r="N397" s="4" t="s">
        <v>6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>
      <c r="A398" s="4">
        <v>50</v>
      </c>
      <c r="B398" s="4">
        <v>0</v>
      </c>
      <c r="C398" s="4">
        <v>0</v>
      </c>
      <c r="D398" s="4">
        <v>2</v>
      </c>
      <c r="E398" s="4">
        <v>0</v>
      </c>
      <c r="F398" s="4">
        <f>0</f>
        <v>0</v>
      </c>
      <c r="G398" s="4" t="s">
        <v>113</v>
      </c>
      <c r="H398" s="4" t="s">
        <v>114</v>
      </c>
      <c r="I398" s="4"/>
      <c r="J398" s="4"/>
      <c r="K398" s="4">
        <v>212</v>
      </c>
      <c r="L398" s="4">
        <v>34</v>
      </c>
      <c r="M398" s="4">
        <v>1</v>
      </c>
      <c r="N398" s="4" t="s">
        <v>6</v>
      </c>
      <c r="O398" s="4">
        <v>-1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>
      <c r="A399" s="4">
        <v>50</v>
      </c>
      <c r="B399" s="4">
        <v>0</v>
      </c>
      <c r="C399" s="4">
        <v>0</v>
      </c>
      <c r="D399" s="4">
        <v>2</v>
      </c>
      <c r="E399" s="4">
        <v>0</v>
      </c>
      <c r="F399" s="4">
        <f>ROUND(IF(F398=0,0,(F391+F393+F396)/100*F398),O399)</f>
        <v>0</v>
      </c>
      <c r="G399" s="4" t="s">
        <v>115</v>
      </c>
      <c r="H399" s="4" t="s">
        <v>116</v>
      </c>
      <c r="I399" s="4"/>
      <c r="J399" s="4"/>
      <c r="K399" s="4">
        <v>212</v>
      </c>
      <c r="L399" s="4">
        <v>35</v>
      </c>
      <c r="M399" s="4">
        <v>1</v>
      </c>
      <c r="N399" s="4" t="s">
        <v>6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>
      <c r="A400" s="4">
        <v>50</v>
      </c>
      <c r="B400" s="4">
        <v>0</v>
      </c>
      <c r="C400" s="4">
        <v>0</v>
      </c>
      <c r="D400" s="4">
        <v>2</v>
      </c>
      <c r="E400" s="4">
        <v>0</v>
      </c>
      <c r="F400" s="4">
        <f>ROUND(IF(F399=0,0,F391+F393+F396+F399),O400)</f>
        <v>0</v>
      </c>
      <c r="G400" s="4" t="s">
        <v>117</v>
      </c>
      <c r="H400" s="4" t="s">
        <v>118</v>
      </c>
      <c r="I400" s="4"/>
      <c r="J400" s="4"/>
      <c r="K400" s="4">
        <v>212</v>
      </c>
      <c r="L400" s="4">
        <v>36</v>
      </c>
      <c r="M400" s="4">
        <v>1</v>
      </c>
      <c r="N400" s="4" t="s">
        <v>6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06">
      <c r="A401" s="4">
        <v>50</v>
      </c>
      <c r="B401" s="4">
        <v>0</v>
      </c>
      <c r="C401" s="4">
        <v>0</v>
      </c>
      <c r="D401" s="4">
        <v>2</v>
      </c>
      <c r="E401" s="4">
        <v>0</v>
      </c>
      <c r="F401" s="4">
        <f>ROUND(ROUND(F391+F393+F396+F399,2),O401)</f>
        <v>17448.79</v>
      </c>
      <c r="G401" s="4" t="s">
        <v>119</v>
      </c>
      <c r="H401" s="4" t="s">
        <v>120</v>
      </c>
      <c r="I401" s="4"/>
      <c r="J401" s="4"/>
      <c r="K401" s="4">
        <v>212</v>
      </c>
      <c r="L401" s="4">
        <v>37</v>
      </c>
      <c r="M401" s="4">
        <v>3</v>
      </c>
      <c r="N401" s="4" t="s">
        <v>6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17448.79</v>
      </c>
      <c r="X401" s="4">
        <v>1</v>
      </c>
      <c r="Y401" s="4">
        <v>17448.79</v>
      </c>
      <c r="Z401" s="4"/>
      <c r="AA401" s="4"/>
      <c r="AB401" s="4"/>
    </row>
    <row r="402" spans="1:206">
      <c r="A402" s="4">
        <v>50</v>
      </c>
      <c r="B402" s="4">
        <v>1</v>
      </c>
      <c r="C402" s="4">
        <v>0</v>
      </c>
      <c r="D402" s="4">
        <v>2</v>
      </c>
      <c r="E402" s="4">
        <v>0</v>
      </c>
      <c r="F402" s="4">
        <f>ROUND(ROUND(F401*0.2,2),O402)</f>
        <v>3489.76</v>
      </c>
      <c r="G402" s="4" t="s">
        <v>121</v>
      </c>
      <c r="H402" s="4" t="s">
        <v>122</v>
      </c>
      <c r="I402" s="4"/>
      <c r="J402" s="4"/>
      <c r="K402" s="4">
        <v>212</v>
      </c>
      <c r="L402" s="4">
        <v>38</v>
      </c>
      <c r="M402" s="4">
        <v>1</v>
      </c>
      <c r="N402" s="4" t="s">
        <v>6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3489.76</v>
      </c>
      <c r="X402" s="4">
        <v>1</v>
      </c>
      <c r="Y402" s="4">
        <v>3489.76</v>
      </c>
      <c r="Z402" s="4"/>
      <c r="AA402" s="4"/>
      <c r="AB402" s="4"/>
    </row>
    <row r="403" spans="1:206">
      <c r="A403" s="4">
        <v>50</v>
      </c>
      <c r="B403" s="4">
        <v>1</v>
      </c>
      <c r="C403" s="4">
        <v>0</v>
      </c>
      <c r="D403" s="4">
        <v>2</v>
      </c>
      <c r="E403" s="4">
        <v>213</v>
      </c>
      <c r="F403" s="4">
        <f>ROUND(ROUND(F401+F402,2),O403)</f>
        <v>20938.55</v>
      </c>
      <c r="G403" s="4" t="s">
        <v>123</v>
      </c>
      <c r="H403" s="4" t="s">
        <v>124</v>
      </c>
      <c r="I403" s="4"/>
      <c r="J403" s="4"/>
      <c r="K403" s="4">
        <v>212</v>
      </c>
      <c r="L403" s="4">
        <v>39</v>
      </c>
      <c r="M403" s="4">
        <v>1</v>
      </c>
      <c r="N403" s="4" t="s">
        <v>6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20938.55</v>
      </c>
      <c r="X403" s="4">
        <v>1</v>
      </c>
      <c r="Y403" s="4">
        <v>20938.55</v>
      </c>
      <c r="Z403" s="4"/>
      <c r="AA403" s="4"/>
      <c r="AB403" s="4"/>
    </row>
    <row r="405" spans="1:206">
      <c r="A405" s="2">
        <v>51</v>
      </c>
      <c r="B405" s="2">
        <f>B20</f>
        <v>1</v>
      </c>
      <c r="C405" s="2">
        <f>A20</f>
        <v>3</v>
      </c>
      <c r="D405" s="2">
        <f>ROW(A20)</f>
        <v>20</v>
      </c>
      <c r="E405" s="2"/>
      <c r="F405" s="2" t="str">
        <f>IF(F20&lt;&gt;"",F20,"")</f>
        <v/>
      </c>
      <c r="G405" s="2" t="str">
        <f>IF(G20&lt;&gt;"",G20,"")</f>
        <v>Новая локальная смета</v>
      </c>
      <c r="H405" s="2">
        <v>0</v>
      </c>
      <c r="I405" s="2"/>
      <c r="J405" s="2"/>
      <c r="K405" s="2"/>
      <c r="L405" s="2"/>
      <c r="M405" s="2"/>
      <c r="N405" s="2"/>
      <c r="O405" s="2">
        <f t="shared" ref="O405:T405" si="186">ROUND(O35+O88+O139+O191+O256+O312+O363+AB405,2)</f>
        <v>3075376.16</v>
      </c>
      <c r="P405" s="2">
        <f t="shared" si="186"/>
        <v>2972330.98</v>
      </c>
      <c r="Q405" s="2">
        <f t="shared" si="186"/>
        <v>5934.66</v>
      </c>
      <c r="R405" s="2">
        <f t="shared" si="186"/>
        <v>2123.54</v>
      </c>
      <c r="S405" s="2">
        <f t="shared" si="186"/>
        <v>94986.98</v>
      </c>
      <c r="T405" s="2">
        <f t="shared" si="186"/>
        <v>0</v>
      </c>
      <c r="U405" s="2">
        <f>U35+U88+U139+U191+U256+U312+U363+AH405</f>
        <v>291.12199999999996</v>
      </c>
      <c r="V405" s="2">
        <f>V35+V88+V139+V191+V256+V312+V363+AI405</f>
        <v>13.37956</v>
      </c>
      <c r="W405" s="2">
        <f>ROUND(W35+W88+W139+W191+W256+W312+W363+AJ405,2)</f>
        <v>0</v>
      </c>
      <c r="X405" s="2">
        <f>ROUND(X35+X88+X139+X191+X256+X312+X363+AK405,2)</f>
        <v>91244.9</v>
      </c>
      <c r="Y405" s="2">
        <f>ROUND(Y35+Y88+Y139+Y191+Y256+Y312+Y363+AL405,2)</f>
        <v>47536.25</v>
      </c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>
        <f t="shared" ref="AO405:BD405" si="187">ROUND(AO35+AO88+AO139+AO191+AO256+AO312+AO363+BX405,2)</f>
        <v>0</v>
      </c>
      <c r="AP405" s="2">
        <f t="shared" si="187"/>
        <v>0</v>
      </c>
      <c r="AQ405" s="2">
        <f t="shared" si="187"/>
        <v>0</v>
      </c>
      <c r="AR405" s="2">
        <f t="shared" si="187"/>
        <v>3214157.31</v>
      </c>
      <c r="AS405" s="2">
        <f t="shared" si="187"/>
        <v>2957608.93</v>
      </c>
      <c r="AT405" s="2">
        <f t="shared" si="187"/>
        <v>237366.03</v>
      </c>
      <c r="AU405" s="2">
        <f t="shared" si="187"/>
        <v>19182.349999999999</v>
      </c>
      <c r="AV405" s="2">
        <f t="shared" si="187"/>
        <v>2972330.98</v>
      </c>
      <c r="AW405" s="2">
        <f t="shared" si="187"/>
        <v>2972330.98</v>
      </c>
      <c r="AX405" s="2">
        <f t="shared" si="187"/>
        <v>0</v>
      </c>
      <c r="AY405" s="2">
        <f t="shared" si="187"/>
        <v>2972330.98</v>
      </c>
      <c r="AZ405" s="2">
        <f t="shared" si="187"/>
        <v>0</v>
      </c>
      <c r="BA405" s="2">
        <f t="shared" si="187"/>
        <v>0</v>
      </c>
      <c r="BB405" s="2">
        <f t="shared" si="187"/>
        <v>0</v>
      </c>
      <c r="BC405" s="2">
        <f t="shared" si="187"/>
        <v>0</v>
      </c>
      <c r="BD405" s="2">
        <f t="shared" si="187"/>
        <v>0</v>
      </c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3"/>
      <c r="DH405" s="3"/>
      <c r="DI405" s="3"/>
      <c r="DJ405" s="3"/>
      <c r="DK405" s="3"/>
      <c r="DL405" s="3"/>
      <c r="DM405" s="3"/>
      <c r="DN405" s="3"/>
      <c r="DO405" s="3"/>
      <c r="DP405" s="3"/>
      <c r="DQ405" s="3"/>
      <c r="DR405" s="3"/>
      <c r="DS405" s="3"/>
      <c r="DT405" s="3"/>
      <c r="DU405" s="3"/>
      <c r="DV405" s="3"/>
      <c r="DW405" s="3"/>
      <c r="DX405" s="3"/>
      <c r="DY405" s="3"/>
      <c r="DZ405" s="3"/>
      <c r="EA405" s="3"/>
      <c r="EB405" s="3"/>
      <c r="EC405" s="3"/>
      <c r="ED405" s="3"/>
      <c r="EE405" s="3"/>
      <c r="EF405" s="3"/>
      <c r="EG405" s="3"/>
      <c r="EH405" s="3"/>
      <c r="EI405" s="3"/>
      <c r="EJ405" s="3"/>
      <c r="EK405" s="3"/>
      <c r="EL405" s="3"/>
      <c r="EM405" s="3"/>
      <c r="EN405" s="3"/>
      <c r="EO405" s="3"/>
      <c r="EP405" s="3"/>
      <c r="EQ405" s="3"/>
      <c r="ER405" s="3"/>
      <c r="ES405" s="3"/>
      <c r="ET405" s="3"/>
      <c r="EU405" s="3"/>
      <c r="EV405" s="3"/>
      <c r="EW405" s="3"/>
      <c r="EX405" s="3"/>
      <c r="EY405" s="3"/>
      <c r="EZ405" s="3"/>
      <c r="FA405" s="3"/>
      <c r="FB405" s="3"/>
      <c r="FC405" s="3"/>
      <c r="FD405" s="3"/>
      <c r="FE405" s="3"/>
      <c r="FF405" s="3"/>
      <c r="FG405" s="3"/>
      <c r="FH405" s="3"/>
      <c r="FI405" s="3"/>
      <c r="FJ405" s="3"/>
      <c r="FK405" s="3"/>
      <c r="FL405" s="3"/>
      <c r="FM405" s="3"/>
      <c r="FN405" s="3"/>
      <c r="FO405" s="3"/>
      <c r="FP405" s="3"/>
      <c r="FQ405" s="3"/>
      <c r="FR405" s="3"/>
      <c r="FS405" s="3"/>
      <c r="FT405" s="3"/>
      <c r="FU405" s="3"/>
      <c r="FV405" s="3"/>
      <c r="FW405" s="3"/>
      <c r="FX405" s="3"/>
      <c r="FY405" s="3"/>
      <c r="FZ405" s="3"/>
      <c r="GA405" s="3"/>
      <c r="GB405" s="3"/>
      <c r="GC405" s="3"/>
      <c r="GD405" s="3"/>
      <c r="GE405" s="3"/>
      <c r="GF405" s="3"/>
      <c r="GG405" s="3"/>
      <c r="GH405" s="3"/>
      <c r="GI405" s="3"/>
      <c r="GJ405" s="3"/>
      <c r="GK405" s="3"/>
      <c r="GL405" s="3"/>
      <c r="GM405" s="3"/>
      <c r="GN405" s="3"/>
      <c r="GO405" s="3"/>
      <c r="GP405" s="3"/>
      <c r="GQ405" s="3"/>
      <c r="GR405" s="3"/>
      <c r="GS405" s="3"/>
      <c r="GT405" s="3"/>
      <c r="GU405" s="3"/>
      <c r="GV405" s="3"/>
      <c r="GW405" s="3"/>
      <c r="GX405" s="3">
        <v>0</v>
      </c>
    </row>
    <row r="407" spans="1:206">
      <c r="A407" s="4">
        <v>50</v>
      </c>
      <c r="B407" s="4">
        <v>1</v>
      </c>
      <c r="C407" s="4">
        <v>0</v>
      </c>
      <c r="D407" s="4">
        <v>1</v>
      </c>
      <c r="E407" s="4">
        <v>201</v>
      </c>
      <c r="F407" s="4">
        <f>ROUND(Source!O405,O407)</f>
        <v>3075376.16</v>
      </c>
      <c r="G407" s="4" t="s">
        <v>47</v>
      </c>
      <c r="H407" s="4" t="s">
        <v>48</v>
      </c>
      <c r="I407" s="4"/>
      <c r="J407" s="4"/>
      <c r="K407" s="4">
        <v>201</v>
      </c>
      <c r="L407" s="4">
        <v>1</v>
      </c>
      <c r="M407" s="4">
        <v>1</v>
      </c>
      <c r="N407" s="4" t="s">
        <v>6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3075376.16</v>
      </c>
      <c r="X407" s="4">
        <v>1</v>
      </c>
      <c r="Y407" s="4">
        <v>3075376.16</v>
      </c>
      <c r="Z407" s="4"/>
      <c r="AA407" s="4"/>
      <c r="AB407" s="4"/>
    </row>
    <row r="408" spans="1:206">
      <c r="A408" s="4">
        <v>50</v>
      </c>
      <c r="B408" s="4">
        <v>1</v>
      </c>
      <c r="C408" s="4">
        <v>0</v>
      </c>
      <c r="D408" s="4">
        <v>1</v>
      </c>
      <c r="E408" s="4">
        <v>202</v>
      </c>
      <c r="F408" s="4">
        <f>ROUND(Source!P405,O408)</f>
        <v>2972330.98</v>
      </c>
      <c r="G408" s="4" t="s">
        <v>49</v>
      </c>
      <c r="H408" s="4" t="s">
        <v>50</v>
      </c>
      <c r="I408" s="4"/>
      <c r="J408" s="4"/>
      <c r="K408" s="4">
        <v>202</v>
      </c>
      <c r="L408" s="4">
        <v>2</v>
      </c>
      <c r="M408" s="4">
        <v>1</v>
      </c>
      <c r="N408" s="4" t="s">
        <v>6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2972330.98</v>
      </c>
      <c r="X408" s="4">
        <v>1</v>
      </c>
      <c r="Y408" s="4">
        <v>2972330.98</v>
      </c>
      <c r="Z408" s="4"/>
      <c r="AA408" s="4"/>
      <c r="AB408" s="4"/>
    </row>
    <row r="409" spans="1:206">
      <c r="A409" s="4">
        <v>50</v>
      </c>
      <c r="B409" s="4">
        <v>0</v>
      </c>
      <c r="C409" s="4">
        <v>0</v>
      </c>
      <c r="D409" s="4">
        <v>1</v>
      </c>
      <c r="E409" s="4">
        <v>222</v>
      </c>
      <c r="F409" s="4">
        <f>ROUND(Source!AO405,O409)</f>
        <v>0</v>
      </c>
      <c r="G409" s="4" t="s">
        <v>51</v>
      </c>
      <c r="H409" s="4" t="s">
        <v>52</v>
      </c>
      <c r="I409" s="4"/>
      <c r="J409" s="4"/>
      <c r="K409" s="4">
        <v>222</v>
      </c>
      <c r="L409" s="4">
        <v>3</v>
      </c>
      <c r="M409" s="4">
        <v>3</v>
      </c>
      <c r="N409" s="4" t="s">
        <v>6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06">
      <c r="A410" s="4">
        <v>50</v>
      </c>
      <c r="B410" s="4">
        <v>0</v>
      </c>
      <c r="C410" s="4">
        <v>0</v>
      </c>
      <c r="D410" s="4">
        <v>1</v>
      </c>
      <c r="E410" s="4">
        <v>225</v>
      </c>
      <c r="F410" s="4">
        <f>ROUND(Source!AV405,O410)</f>
        <v>2972330.98</v>
      </c>
      <c r="G410" s="4" t="s">
        <v>53</v>
      </c>
      <c r="H410" s="4" t="s">
        <v>54</v>
      </c>
      <c r="I410" s="4"/>
      <c r="J410" s="4"/>
      <c r="K410" s="4">
        <v>225</v>
      </c>
      <c r="L410" s="4">
        <v>4</v>
      </c>
      <c r="M410" s="4">
        <v>3</v>
      </c>
      <c r="N410" s="4" t="s">
        <v>6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2972330.98</v>
      </c>
      <c r="X410" s="4">
        <v>1</v>
      </c>
      <c r="Y410" s="4">
        <v>2972330.98</v>
      </c>
      <c r="Z410" s="4"/>
      <c r="AA410" s="4"/>
      <c r="AB410" s="4"/>
    </row>
    <row r="411" spans="1:206">
      <c r="A411" s="4">
        <v>50</v>
      </c>
      <c r="B411" s="4">
        <v>0</v>
      </c>
      <c r="C411" s="4">
        <v>0</v>
      </c>
      <c r="D411" s="4">
        <v>1</v>
      </c>
      <c r="E411" s="4">
        <v>226</v>
      </c>
      <c r="F411" s="4">
        <f>ROUND(Source!AW405,O411)</f>
        <v>2972330.98</v>
      </c>
      <c r="G411" s="4" t="s">
        <v>55</v>
      </c>
      <c r="H411" s="4" t="s">
        <v>56</v>
      </c>
      <c r="I411" s="4"/>
      <c r="J411" s="4"/>
      <c r="K411" s="4">
        <v>226</v>
      </c>
      <c r="L411" s="4">
        <v>5</v>
      </c>
      <c r="M411" s="4">
        <v>3</v>
      </c>
      <c r="N411" s="4" t="s">
        <v>6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2972330.98</v>
      </c>
      <c r="X411" s="4">
        <v>1</v>
      </c>
      <c r="Y411" s="4">
        <v>2972330.98</v>
      </c>
      <c r="Z411" s="4"/>
      <c r="AA411" s="4"/>
      <c r="AB411" s="4"/>
    </row>
    <row r="412" spans="1:206">
      <c r="A412" s="4">
        <v>50</v>
      </c>
      <c r="B412" s="4">
        <v>0</v>
      </c>
      <c r="C412" s="4">
        <v>0</v>
      </c>
      <c r="D412" s="4">
        <v>1</v>
      </c>
      <c r="E412" s="4">
        <v>227</v>
      </c>
      <c r="F412" s="4">
        <f>ROUND(Source!AX405,O412)</f>
        <v>0</v>
      </c>
      <c r="G412" s="4" t="s">
        <v>57</v>
      </c>
      <c r="H412" s="4" t="s">
        <v>58</v>
      </c>
      <c r="I412" s="4"/>
      <c r="J412" s="4"/>
      <c r="K412" s="4">
        <v>227</v>
      </c>
      <c r="L412" s="4">
        <v>6</v>
      </c>
      <c r="M412" s="4">
        <v>3</v>
      </c>
      <c r="N412" s="4" t="s">
        <v>6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06">
      <c r="A413" s="4">
        <v>50</v>
      </c>
      <c r="B413" s="4">
        <v>0</v>
      </c>
      <c r="C413" s="4">
        <v>0</v>
      </c>
      <c r="D413" s="4">
        <v>1</v>
      </c>
      <c r="E413" s="4">
        <v>228</v>
      </c>
      <c r="F413" s="4">
        <f>ROUND(Source!AY405,O413)</f>
        <v>2972330.98</v>
      </c>
      <c r="G413" s="4" t="s">
        <v>59</v>
      </c>
      <c r="H413" s="4" t="s">
        <v>60</v>
      </c>
      <c r="I413" s="4"/>
      <c r="J413" s="4"/>
      <c r="K413" s="4">
        <v>228</v>
      </c>
      <c r="L413" s="4">
        <v>7</v>
      </c>
      <c r="M413" s="4">
        <v>3</v>
      </c>
      <c r="N413" s="4" t="s">
        <v>6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2972330.98</v>
      </c>
      <c r="X413" s="4">
        <v>1</v>
      </c>
      <c r="Y413" s="4">
        <v>2972330.98</v>
      </c>
      <c r="Z413" s="4"/>
      <c r="AA413" s="4"/>
      <c r="AB413" s="4"/>
    </row>
    <row r="414" spans="1:206">
      <c r="A414" s="4">
        <v>50</v>
      </c>
      <c r="B414" s="4">
        <v>0</v>
      </c>
      <c r="C414" s="4">
        <v>0</v>
      </c>
      <c r="D414" s="4">
        <v>1</v>
      </c>
      <c r="E414" s="4">
        <v>216</v>
      </c>
      <c r="F414" s="4">
        <f>ROUND(Source!AP405,O414)</f>
        <v>0</v>
      </c>
      <c r="G414" s="4" t="s">
        <v>61</v>
      </c>
      <c r="H414" s="4" t="s">
        <v>62</v>
      </c>
      <c r="I414" s="4"/>
      <c r="J414" s="4"/>
      <c r="K414" s="4">
        <v>216</v>
      </c>
      <c r="L414" s="4">
        <v>8</v>
      </c>
      <c r="M414" s="4">
        <v>3</v>
      </c>
      <c r="N414" s="4" t="s">
        <v>6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06">
      <c r="A415" s="4">
        <v>50</v>
      </c>
      <c r="B415" s="4">
        <v>0</v>
      </c>
      <c r="C415" s="4">
        <v>0</v>
      </c>
      <c r="D415" s="4">
        <v>1</v>
      </c>
      <c r="E415" s="4">
        <v>223</v>
      </c>
      <c r="F415" s="4">
        <f>ROUND(Source!AQ405,O415)</f>
        <v>0</v>
      </c>
      <c r="G415" s="4" t="s">
        <v>63</v>
      </c>
      <c r="H415" s="4" t="s">
        <v>64</v>
      </c>
      <c r="I415" s="4"/>
      <c r="J415" s="4"/>
      <c r="K415" s="4">
        <v>223</v>
      </c>
      <c r="L415" s="4">
        <v>9</v>
      </c>
      <c r="M415" s="4">
        <v>3</v>
      </c>
      <c r="N415" s="4" t="s">
        <v>6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06">
      <c r="A416" s="4">
        <v>50</v>
      </c>
      <c r="B416" s="4">
        <v>0</v>
      </c>
      <c r="C416" s="4">
        <v>0</v>
      </c>
      <c r="D416" s="4">
        <v>1</v>
      </c>
      <c r="E416" s="4">
        <v>229</v>
      </c>
      <c r="F416" s="4">
        <f>ROUND(Source!AZ405,O416)</f>
        <v>0</v>
      </c>
      <c r="G416" s="4" t="s">
        <v>65</v>
      </c>
      <c r="H416" s="4" t="s">
        <v>66</v>
      </c>
      <c r="I416" s="4"/>
      <c r="J416" s="4"/>
      <c r="K416" s="4">
        <v>229</v>
      </c>
      <c r="L416" s="4">
        <v>10</v>
      </c>
      <c r="M416" s="4">
        <v>3</v>
      </c>
      <c r="N416" s="4" t="s">
        <v>6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8">
      <c r="A417" s="4">
        <v>50</v>
      </c>
      <c r="B417" s="4">
        <v>1</v>
      </c>
      <c r="C417" s="4">
        <v>0</v>
      </c>
      <c r="D417" s="4">
        <v>1</v>
      </c>
      <c r="E417" s="4">
        <v>203</v>
      </c>
      <c r="F417" s="4">
        <f>ROUND(Source!Q405,O417)</f>
        <v>5934.66</v>
      </c>
      <c r="G417" s="4" t="s">
        <v>67</v>
      </c>
      <c r="H417" s="4" t="s">
        <v>68</v>
      </c>
      <c r="I417" s="4"/>
      <c r="J417" s="4"/>
      <c r="K417" s="4">
        <v>203</v>
      </c>
      <c r="L417" s="4">
        <v>11</v>
      </c>
      <c r="M417" s="4">
        <v>1</v>
      </c>
      <c r="N417" s="4" t="s">
        <v>6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5934.6600000000008</v>
      </c>
      <c r="X417" s="4">
        <v>1</v>
      </c>
      <c r="Y417" s="4">
        <v>5934.6600000000008</v>
      </c>
      <c r="Z417" s="4"/>
      <c r="AA417" s="4"/>
      <c r="AB417" s="4"/>
    </row>
    <row r="418" spans="1:28">
      <c r="A418" s="4">
        <v>50</v>
      </c>
      <c r="B418" s="4">
        <v>0</v>
      </c>
      <c r="C418" s="4">
        <v>0</v>
      </c>
      <c r="D418" s="4">
        <v>1</v>
      </c>
      <c r="E418" s="4">
        <v>231</v>
      </c>
      <c r="F418" s="4">
        <f>ROUND(Source!BB405,O418)</f>
        <v>0</v>
      </c>
      <c r="G418" s="4" t="s">
        <v>69</v>
      </c>
      <c r="H418" s="4" t="s">
        <v>70</v>
      </c>
      <c r="I418" s="4"/>
      <c r="J418" s="4"/>
      <c r="K418" s="4">
        <v>231</v>
      </c>
      <c r="L418" s="4">
        <v>12</v>
      </c>
      <c r="M418" s="4">
        <v>3</v>
      </c>
      <c r="N418" s="4" t="s">
        <v>6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>
      <c r="A419" s="4">
        <v>50</v>
      </c>
      <c r="B419" s="4">
        <v>1</v>
      </c>
      <c r="C419" s="4">
        <v>0</v>
      </c>
      <c r="D419" s="4">
        <v>1</v>
      </c>
      <c r="E419" s="4">
        <v>204</v>
      </c>
      <c r="F419" s="4">
        <f>ROUND(Source!R405,O419)</f>
        <v>2123.54</v>
      </c>
      <c r="G419" s="4" t="s">
        <v>71</v>
      </c>
      <c r="H419" s="4" t="s">
        <v>72</v>
      </c>
      <c r="I419" s="4"/>
      <c r="J419" s="4"/>
      <c r="K419" s="4">
        <v>204</v>
      </c>
      <c r="L419" s="4">
        <v>13</v>
      </c>
      <c r="M419" s="4">
        <v>1</v>
      </c>
      <c r="N419" s="4" t="s">
        <v>6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2123.54</v>
      </c>
      <c r="X419" s="4">
        <v>1</v>
      </c>
      <c r="Y419" s="4">
        <v>2123.54</v>
      </c>
      <c r="Z419" s="4"/>
      <c r="AA419" s="4"/>
      <c r="AB419" s="4"/>
    </row>
    <row r="420" spans="1:28">
      <c r="A420" s="4">
        <v>50</v>
      </c>
      <c r="B420" s="4">
        <v>1</v>
      </c>
      <c r="C420" s="4">
        <v>0</v>
      </c>
      <c r="D420" s="4">
        <v>1</v>
      </c>
      <c r="E420" s="4">
        <v>205</v>
      </c>
      <c r="F420" s="4">
        <f>ROUND(Source!S405,O420)</f>
        <v>94986.98</v>
      </c>
      <c r="G420" s="4" t="s">
        <v>73</v>
      </c>
      <c r="H420" s="4" t="s">
        <v>74</v>
      </c>
      <c r="I420" s="4"/>
      <c r="J420" s="4"/>
      <c r="K420" s="4">
        <v>205</v>
      </c>
      <c r="L420" s="4">
        <v>14</v>
      </c>
      <c r="M420" s="4">
        <v>1</v>
      </c>
      <c r="N420" s="4" t="s">
        <v>6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94986.98</v>
      </c>
      <c r="X420" s="4">
        <v>1</v>
      </c>
      <c r="Y420" s="4">
        <v>94986.98</v>
      </c>
      <c r="Z420" s="4"/>
      <c r="AA420" s="4"/>
      <c r="AB420" s="4"/>
    </row>
    <row r="421" spans="1:28">
      <c r="A421" s="4">
        <v>50</v>
      </c>
      <c r="B421" s="4">
        <v>0</v>
      </c>
      <c r="C421" s="4">
        <v>0</v>
      </c>
      <c r="D421" s="4">
        <v>1</v>
      </c>
      <c r="E421" s="4">
        <v>232</v>
      </c>
      <c r="F421" s="4">
        <f>ROUND(Source!BC405,O421)</f>
        <v>0</v>
      </c>
      <c r="G421" s="4" t="s">
        <v>75</v>
      </c>
      <c r="H421" s="4" t="s">
        <v>76</v>
      </c>
      <c r="I421" s="4"/>
      <c r="J421" s="4"/>
      <c r="K421" s="4">
        <v>232</v>
      </c>
      <c r="L421" s="4">
        <v>15</v>
      </c>
      <c r="M421" s="4">
        <v>3</v>
      </c>
      <c r="N421" s="4" t="s">
        <v>6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>
      <c r="A422" s="4">
        <v>50</v>
      </c>
      <c r="B422" s="4">
        <v>0</v>
      </c>
      <c r="C422" s="4">
        <v>0</v>
      </c>
      <c r="D422" s="4">
        <v>1</v>
      </c>
      <c r="E422" s="4">
        <v>214</v>
      </c>
      <c r="F422" s="4">
        <f>ROUND(Source!AS405,O422)</f>
        <v>2957608.93</v>
      </c>
      <c r="G422" s="4" t="s">
        <v>77</v>
      </c>
      <c r="H422" s="4" t="s">
        <v>78</v>
      </c>
      <c r="I422" s="4"/>
      <c r="J422" s="4"/>
      <c r="K422" s="4">
        <v>214</v>
      </c>
      <c r="L422" s="4">
        <v>16</v>
      </c>
      <c r="M422" s="4">
        <v>3</v>
      </c>
      <c r="N422" s="4" t="s">
        <v>6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2957608.93</v>
      </c>
      <c r="X422" s="4">
        <v>1</v>
      </c>
      <c r="Y422" s="4">
        <v>2957608.93</v>
      </c>
      <c r="Z422" s="4"/>
      <c r="AA422" s="4"/>
      <c r="AB422" s="4"/>
    </row>
    <row r="423" spans="1:28">
      <c r="A423" s="4">
        <v>50</v>
      </c>
      <c r="B423" s="4">
        <v>0</v>
      </c>
      <c r="C423" s="4">
        <v>0</v>
      </c>
      <c r="D423" s="4">
        <v>1</v>
      </c>
      <c r="E423" s="4">
        <v>215</v>
      </c>
      <c r="F423" s="4">
        <f>ROUND(Source!AT405,O423)</f>
        <v>237366.03</v>
      </c>
      <c r="G423" s="4" t="s">
        <v>79</v>
      </c>
      <c r="H423" s="4" t="s">
        <v>80</v>
      </c>
      <c r="I423" s="4"/>
      <c r="J423" s="4"/>
      <c r="K423" s="4">
        <v>215</v>
      </c>
      <c r="L423" s="4">
        <v>17</v>
      </c>
      <c r="M423" s="4">
        <v>3</v>
      </c>
      <c r="N423" s="4" t="s">
        <v>6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237366.03</v>
      </c>
      <c r="X423" s="4">
        <v>1</v>
      </c>
      <c r="Y423" s="4">
        <v>237366.03</v>
      </c>
      <c r="Z423" s="4"/>
      <c r="AA423" s="4"/>
      <c r="AB423" s="4"/>
    </row>
    <row r="424" spans="1:28">
      <c r="A424" s="4">
        <v>50</v>
      </c>
      <c r="B424" s="4">
        <v>0</v>
      </c>
      <c r="C424" s="4">
        <v>0</v>
      </c>
      <c r="D424" s="4">
        <v>1</v>
      </c>
      <c r="E424" s="4">
        <v>217</v>
      </c>
      <c r="F424" s="4">
        <f>ROUND(Source!AU405,O424)</f>
        <v>19182.349999999999</v>
      </c>
      <c r="G424" s="4" t="s">
        <v>81</v>
      </c>
      <c r="H424" s="4" t="s">
        <v>82</v>
      </c>
      <c r="I424" s="4"/>
      <c r="J424" s="4"/>
      <c r="K424" s="4">
        <v>217</v>
      </c>
      <c r="L424" s="4">
        <v>18</v>
      </c>
      <c r="M424" s="4">
        <v>3</v>
      </c>
      <c r="N424" s="4" t="s">
        <v>6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19182.349999999999</v>
      </c>
      <c r="X424" s="4">
        <v>1</v>
      </c>
      <c r="Y424" s="4">
        <v>19182.349999999999</v>
      </c>
      <c r="Z424" s="4"/>
      <c r="AA424" s="4"/>
      <c r="AB424" s="4"/>
    </row>
    <row r="425" spans="1:28">
      <c r="A425" s="4">
        <v>50</v>
      </c>
      <c r="B425" s="4">
        <v>0</v>
      </c>
      <c r="C425" s="4">
        <v>0</v>
      </c>
      <c r="D425" s="4">
        <v>1</v>
      </c>
      <c r="E425" s="4">
        <v>230</v>
      </c>
      <c r="F425" s="4">
        <f>ROUND(Source!BA405,O425)</f>
        <v>0</v>
      </c>
      <c r="G425" s="4" t="s">
        <v>83</v>
      </c>
      <c r="H425" s="4" t="s">
        <v>84</v>
      </c>
      <c r="I425" s="4"/>
      <c r="J425" s="4"/>
      <c r="K425" s="4">
        <v>230</v>
      </c>
      <c r="L425" s="4">
        <v>19</v>
      </c>
      <c r="M425" s="4">
        <v>3</v>
      </c>
      <c r="N425" s="4" t="s">
        <v>6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>
      <c r="A426" s="4">
        <v>50</v>
      </c>
      <c r="B426" s="4">
        <v>0</v>
      </c>
      <c r="C426" s="4">
        <v>0</v>
      </c>
      <c r="D426" s="4">
        <v>1</v>
      </c>
      <c r="E426" s="4">
        <v>206</v>
      </c>
      <c r="F426" s="4">
        <f>ROUND(Source!T405,O426)</f>
        <v>0</v>
      </c>
      <c r="G426" s="4" t="s">
        <v>85</v>
      </c>
      <c r="H426" s="4" t="s">
        <v>86</v>
      </c>
      <c r="I426" s="4"/>
      <c r="J426" s="4"/>
      <c r="K426" s="4">
        <v>206</v>
      </c>
      <c r="L426" s="4">
        <v>20</v>
      </c>
      <c r="M426" s="4">
        <v>3</v>
      </c>
      <c r="N426" s="4" t="s">
        <v>6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>
      <c r="A427" s="4">
        <v>50</v>
      </c>
      <c r="B427" s="4">
        <v>0</v>
      </c>
      <c r="C427" s="4">
        <v>0</v>
      </c>
      <c r="D427" s="4">
        <v>1</v>
      </c>
      <c r="E427" s="4">
        <v>207</v>
      </c>
      <c r="F427" s="4">
        <f>Source!U405</f>
        <v>291.12199999999996</v>
      </c>
      <c r="G427" s="4" t="s">
        <v>87</v>
      </c>
      <c r="H427" s="4" t="s">
        <v>88</v>
      </c>
      <c r="I427" s="4"/>
      <c r="J427" s="4"/>
      <c r="K427" s="4">
        <v>207</v>
      </c>
      <c r="L427" s="4">
        <v>21</v>
      </c>
      <c r="M427" s="4">
        <v>3</v>
      </c>
      <c r="N427" s="4" t="s">
        <v>6</v>
      </c>
      <c r="O427" s="4">
        <v>-1</v>
      </c>
      <c r="P427" s="4"/>
      <c r="Q427" s="4"/>
      <c r="R427" s="4"/>
      <c r="S427" s="4"/>
      <c r="T427" s="4"/>
      <c r="U427" s="4"/>
      <c r="V427" s="4"/>
      <c r="W427" s="4">
        <v>291.12200000000001</v>
      </c>
      <c r="X427" s="4">
        <v>1</v>
      </c>
      <c r="Y427" s="4">
        <v>291.12200000000001</v>
      </c>
      <c r="Z427" s="4"/>
      <c r="AA427" s="4"/>
      <c r="AB427" s="4"/>
    </row>
    <row r="428" spans="1:28">
      <c r="A428" s="4">
        <v>50</v>
      </c>
      <c r="B428" s="4">
        <v>0</v>
      </c>
      <c r="C428" s="4">
        <v>0</v>
      </c>
      <c r="D428" s="4">
        <v>1</v>
      </c>
      <c r="E428" s="4">
        <v>208</v>
      </c>
      <c r="F428" s="4">
        <f>Source!V405</f>
        <v>13.37956</v>
      </c>
      <c r="G428" s="4" t="s">
        <v>89</v>
      </c>
      <c r="H428" s="4" t="s">
        <v>90</v>
      </c>
      <c r="I428" s="4"/>
      <c r="J428" s="4"/>
      <c r="K428" s="4">
        <v>208</v>
      </c>
      <c r="L428" s="4">
        <v>22</v>
      </c>
      <c r="M428" s="4">
        <v>3</v>
      </c>
      <c r="N428" s="4" t="s">
        <v>6</v>
      </c>
      <c r="O428" s="4">
        <v>-1</v>
      </c>
      <c r="P428" s="4"/>
      <c r="Q428" s="4"/>
      <c r="R428" s="4"/>
      <c r="S428" s="4"/>
      <c r="T428" s="4"/>
      <c r="U428" s="4"/>
      <c r="V428" s="4"/>
      <c r="W428" s="4">
        <v>6.0376000000000003</v>
      </c>
      <c r="X428" s="4">
        <v>1</v>
      </c>
      <c r="Y428" s="4">
        <v>6.0376000000000003</v>
      </c>
      <c r="Z428" s="4"/>
      <c r="AA428" s="4"/>
      <c r="AB428" s="4"/>
    </row>
    <row r="429" spans="1:28">
      <c r="A429" s="4">
        <v>50</v>
      </c>
      <c r="B429" s="4">
        <v>0</v>
      </c>
      <c r="C429" s="4">
        <v>0</v>
      </c>
      <c r="D429" s="4">
        <v>1</v>
      </c>
      <c r="E429" s="4">
        <v>209</v>
      </c>
      <c r="F429" s="4">
        <f>ROUND(Source!W405,O429)</f>
        <v>0</v>
      </c>
      <c r="G429" s="4" t="s">
        <v>91</v>
      </c>
      <c r="H429" s="4" t="s">
        <v>92</v>
      </c>
      <c r="I429" s="4"/>
      <c r="J429" s="4"/>
      <c r="K429" s="4">
        <v>209</v>
      </c>
      <c r="L429" s="4">
        <v>23</v>
      </c>
      <c r="M429" s="4">
        <v>3</v>
      </c>
      <c r="N429" s="4" t="s">
        <v>6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>
      <c r="A430" s="4">
        <v>50</v>
      </c>
      <c r="B430" s="4">
        <v>0</v>
      </c>
      <c r="C430" s="4">
        <v>0</v>
      </c>
      <c r="D430" s="4">
        <v>1</v>
      </c>
      <c r="E430" s="4">
        <v>233</v>
      </c>
      <c r="F430" s="4">
        <f>ROUND(Source!BD405,O430)</f>
        <v>0</v>
      </c>
      <c r="G430" s="4" t="s">
        <v>93</v>
      </c>
      <c r="H430" s="4" t="s">
        <v>94</v>
      </c>
      <c r="I430" s="4"/>
      <c r="J430" s="4"/>
      <c r="K430" s="4">
        <v>233</v>
      </c>
      <c r="L430" s="4">
        <v>24</v>
      </c>
      <c r="M430" s="4">
        <v>3</v>
      </c>
      <c r="N430" s="4" t="s">
        <v>6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>
      <c r="A431" s="4">
        <v>50</v>
      </c>
      <c r="B431" s="4">
        <v>1</v>
      </c>
      <c r="C431" s="4">
        <v>0</v>
      </c>
      <c r="D431" s="4">
        <v>1</v>
      </c>
      <c r="E431" s="4">
        <v>210</v>
      </c>
      <c r="F431" s="4">
        <f>ROUND(Source!X405,O431)</f>
        <v>91244.9</v>
      </c>
      <c r="G431" s="4" t="s">
        <v>95</v>
      </c>
      <c r="H431" s="4" t="s">
        <v>96</v>
      </c>
      <c r="I431" s="4"/>
      <c r="J431" s="4"/>
      <c r="K431" s="4">
        <v>210</v>
      </c>
      <c r="L431" s="4">
        <v>25</v>
      </c>
      <c r="M431" s="4">
        <v>1</v>
      </c>
      <c r="N431" s="4" t="s">
        <v>6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91244.9</v>
      </c>
      <c r="X431" s="4">
        <v>1</v>
      </c>
      <c r="Y431" s="4">
        <v>91244.9</v>
      </c>
      <c r="Z431" s="4"/>
      <c r="AA431" s="4"/>
      <c r="AB431" s="4"/>
    </row>
    <row r="432" spans="1:28">
      <c r="A432" s="4">
        <v>50</v>
      </c>
      <c r="B432" s="4">
        <v>1</v>
      </c>
      <c r="C432" s="4">
        <v>0</v>
      </c>
      <c r="D432" s="4">
        <v>1</v>
      </c>
      <c r="E432" s="4">
        <v>211</v>
      </c>
      <c r="F432" s="4">
        <f>ROUND(Source!Y405,O432)</f>
        <v>47536.25</v>
      </c>
      <c r="G432" s="4" t="s">
        <v>97</v>
      </c>
      <c r="H432" s="4" t="s">
        <v>98</v>
      </c>
      <c r="I432" s="4"/>
      <c r="J432" s="4"/>
      <c r="K432" s="4">
        <v>211</v>
      </c>
      <c r="L432" s="4">
        <v>26</v>
      </c>
      <c r="M432" s="4">
        <v>1</v>
      </c>
      <c r="N432" s="4" t="s">
        <v>6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47536.25</v>
      </c>
      <c r="X432" s="4">
        <v>1</v>
      </c>
      <c r="Y432" s="4">
        <v>47536.25</v>
      </c>
      <c r="Z432" s="4"/>
      <c r="AA432" s="4"/>
      <c r="AB432" s="4"/>
    </row>
    <row r="433" spans="1:206">
      <c r="A433" s="4">
        <v>50</v>
      </c>
      <c r="B433" s="4">
        <v>1</v>
      </c>
      <c r="C433" s="4">
        <v>0</v>
      </c>
      <c r="D433" s="4">
        <v>1</v>
      </c>
      <c r="E433" s="4">
        <v>224</v>
      </c>
      <c r="F433" s="4">
        <f>ROUND(Source!AR405,O433)</f>
        <v>3214157.31</v>
      </c>
      <c r="G433" s="4" t="s">
        <v>99</v>
      </c>
      <c r="H433" s="4" t="s">
        <v>100</v>
      </c>
      <c r="I433" s="4"/>
      <c r="J433" s="4"/>
      <c r="K433" s="4">
        <v>224</v>
      </c>
      <c r="L433" s="4">
        <v>27</v>
      </c>
      <c r="M433" s="4">
        <v>1</v>
      </c>
      <c r="N433" s="4" t="s">
        <v>6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3214157.31</v>
      </c>
      <c r="X433" s="4">
        <v>1</v>
      </c>
      <c r="Y433" s="4">
        <v>3214157.31</v>
      </c>
      <c r="Z433" s="4"/>
      <c r="AA433" s="4"/>
      <c r="AB433" s="4"/>
    </row>
    <row r="434" spans="1:206">
      <c r="A434" s="4">
        <v>50</v>
      </c>
      <c r="B434" s="4">
        <v>0</v>
      </c>
      <c r="C434" s="4">
        <v>0</v>
      </c>
      <c r="D434" s="4">
        <v>2</v>
      </c>
      <c r="E434" s="4">
        <v>0</v>
      </c>
      <c r="F434" s="4">
        <f>0</f>
        <v>0</v>
      </c>
      <c r="G434" s="4" t="s">
        <v>101</v>
      </c>
      <c r="H434" s="4" t="s">
        <v>102</v>
      </c>
      <c r="I434" s="4"/>
      <c r="J434" s="4"/>
      <c r="K434" s="4">
        <v>212</v>
      </c>
      <c r="L434" s="4">
        <v>28</v>
      </c>
      <c r="M434" s="4">
        <v>1</v>
      </c>
      <c r="N434" s="4" t="s">
        <v>6</v>
      </c>
      <c r="O434" s="4">
        <v>-1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06">
      <c r="A435" s="4">
        <v>50</v>
      </c>
      <c r="B435" s="4">
        <v>0</v>
      </c>
      <c r="C435" s="4">
        <v>0</v>
      </c>
      <c r="D435" s="4">
        <v>2</v>
      </c>
      <c r="E435" s="4">
        <v>0</v>
      </c>
      <c r="F435" s="4">
        <f>ROUND(IF(F434=0,0,F433/100*F434),O435)</f>
        <v>0</v>
      </c>
      <c r="G435" s="4" t="s">
        <v>103</v>
      </c>
      <c r="H435" s="4" t="s">
        <v>104</v>
      </c>
      <c r="I435" s="4"/>
      <c r="J435" s="4"/>
      <c r="K435" s="4">
        <v>212</v>
      </c>
      <c r="L435" s="4">
        <v>29</v>
      </c>
      <c r="M435" s="4">
        <v>1</v>
      </c>
      <c r="N435" s="4" t="s">
        <v>6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06">
      <c r="A436" s="4">
        <v>50</v>
      </c>
      <c r="B436" s="4">
        <v>0</v>
      </c>
      <c r="C436" s="4">
        <v>0</v>
      </c>
      <c r="D436" s="4">
        <v>2</v>
      </c>
      <c r="E436" s="4">
        <v>0</v>
      </c>
      <c r="F436" s="4">
        <f>ROUND(IF(F434=0,0,F433+F435),O436)</f>
        <v>0</v>
      </c>
      <c r="G436" s="4" t="s">
        <v>105</v>
      </c>
      <c r="H436" s="4" t="s">
        <v>106</v>
      </c>
      <c r="I436" s="4"/>
      <c r="J436" s="4"/>
      <c r="K436" s="4">
        <v>212</v>
      </c>
      <c r="L436" s="4">
        <v>30</v>
      </c>
      <c r="M436" s="4">
        <v>1</v>
      </c>
      <c r="N436" s="4" t="s">
        <v>6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>
      <c r="A437" s="4">
        <v>50</v>
      </c>
      <c r="B437" s="4">
        <v>0</v>
      </c>
      <c r="C437" s="4">
        <v>0</v>
      </c>
      <c r="D437" s="4">
        <v>2</v>
      </c>
      <c r="E437" s="4">
        <v>0</v>
      </c>
      <c r="F437" s="4">
        <f>0</f>
        <v>0</v>
      </c>
      <c r="G437" s="4" t="s">
        <v>107</v>
      </c>
      <c r="H437" s="4" t="s">
        <v>108</v>
      </c>
      <c r="I437" s="4"/>
      <c r="J437" s="4"/>
      <c r="K437" s="4">
        <v>212</v>
      </c>
      <c r="L437" s="4">
        <v>31</v>
      </c>
      <c r="M437" s="4">
        <v>1</v>
      </c>
      <c r="N437" s="4" t="s">
        <v>6</v>
      </c>
      <c r="O437" s="4">
        <v>-1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>
      <c r="A438" s="4">
        <v>50</v>
      </c>
      <c r="B438" s="4">
        <v>0</v>
      </c>
      <c r="C438" s="4">
        <v>0</v>
      </c>
      <c r="D438" s="4">
        <v>2</v>
      </c>
      <c r="E438" s="4">
        <v>0</v>
      </c>
      <c r="F438" s="4">
        <f>ROUND(IF(F437=0,0,(F433+F435)/100*F437),O438)</f>
        <v>0</v>
      </c>
      <c r="G438" s="4" t="s">
        <v>109</v>
      </c>
      <c r="H438" s="4" t="s">
        <v>110</v>
      </c>
      <c r="I438" s="4"/>
      <c r="J438" s="4"/>
      <c r="K438" s="4">
        <v>212</v>
      </c>
      <c r="L438" s="4">
        <v>32</v>
      </c>
      <c r="M438" s="4">
        <v>1</v>
      </c>
      <c r="N438" s="4" t="s">
        <v>6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06">
      <c r="A439" s="4">
        <v>50</v>
      </c>
      <c r="B439" s="4">
        <v>0</v>
      </c>
      <c r="C439" s="4">
        <v>0</v>
      </c>
      <c r="D439" s="4">
        <v>2</v>
      </c>
      <c r="E439" s="4">
        <v>0</v>
      </c>
      <c r="F439" s="4">
        <f>ROUND(IF(F438=0,0,F433+F435+F438),O439)</f>
        <v>0</v>
      </c>
      <c r="G439" s="4" t="s">
        <v>111</v>
      </c>
      <c r="H439" s="4" t="s">
        <v>112</v>
      </c>
      <c r="I439" s="4"/>
      <c r="J439" s="4"/>
      <c r="K439" s="4">
        <v>212</v>
      </c>
      <c r="L439" s="4">
        <v>33</v>
      </c>
      <c r="M439" s="4">
        <v>1</v>
      </c>
      <c r="N439" s="4" t="s">
        <v>6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06">
      <c r="A440" s="4">
        <v>50</v>
      </c>
      <c r="B440" s="4">
        <v>0</v>
      </c>
      <c r="C440" s="4">
        <v>0</v>
      </c>
      <c r="D440" s="4">
        <v>2</v>
      </c>
      <c r="E440" s="4">
        <v>0</v>
      </c>
      <c r="F440" s="4">
        <f>0</f>
        <v>0</v>
      </c>
      <c r="G440" s="4" t="s">
        <v>113</v>
      </c>
      <c r="H440" s="4" t="s">
        <v>114</v>
      </c>
      <c r="I440" s="4"/>
      <c r="J440" s="4"/>
      <c r="K440" s="4">
        <v>212</v>
      </c>
      <c r="L440" s="4">
        <v>34</v>
      </c>
      <c r="M440" s="4">
        <v>1</v>
      </c>
      <c r="N440" s="4" t="s">
        <v>6</v>
      </c>
      <c r="O440" s="4">
        <v>-1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06">
      <c r="A441" s="4">
        <v>50</v>
      </c>
      <c r="B441" s="4">
        <v>0</v>
      </c>
      <c r="C441" s="4">
        <v>0</v>
      </c>
      <c r="D441" s="4">
        <v>2</v>
      </c>
      <c r="E441" s="4">
        <v>0</v>
      </c>
      <c r="F441" s="4">
        <f>ROUND(IF(F440=0,0,(F433+F435+F438)/100*F440),O441)</f>
        <v>0</v>
      </c>
      <c r="G441" s="4" t="s">
        <v>115</v>
      </c>
      <c r="H441" s="4" t="s">
        <v>116</v>
      </c>
      <c r="I441" s="4"/>
      <c r="J441" s="4"/>
      <c r="K441" s="4">
        <v>212</v>
      </c>
      <c r="L441" s="4">
        <v>35</v>
      </c>
      <c r="M441" s="4">
        <v>1</v>
      </c>
      <c r="N441" s="4" t="s">
        <v>6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06">
      <c r="A442" s="4">
        <v>50</v>
      </c>
      <c r="B442" s="4">
        <v>0</v>
      </c>
      <c r="C442" s="4">
        <v>0</v>
      </c>
      <c r="D442" s="4">
        <v>2</v>
      </c>
      <c r="E442" s="4">
        <v>0</v>
      </c>
      <c r="F442" s="4">
        <f>ROUND(IF(F441=0,0,F433+F435+F438+F441),O442)</f>
        <v>0</v>
      </c>
      <c r="G442" s="4" t="s">
        <v>117</v>
      </c>
      <c r="H442" s="4" t="s">
        <v>118</v>
      </c>
      <c r="I442" s="4"/>
      <c r="J442" s="4"/>
      <c r="K442" s="4">
        <v>212</v>
      </c>
      <c r="L442" s="4">
        <v>36</v>
      </c>
      <c r="M442" s="4">
        <v>1</v>
      </c>
      <c r="N442" s="4" t="s">
        <v>6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06">
      <c r="A443" s="4">
        <v>50</v>
      </c>
      <c r="B443" s="4">
        <v>0</v>
      </c>
      <c r="C443" s="4">
        <v>0</v>
      </c>
      <c r="D443" s="4">
        <v>2</v>
      </c>
      <c r="E443" s="4">
        <v>0</v>
      </c>
      <c r="F443" s="4">
        <f>ROUND(ROUND(F433+F435+F438+F441,2),O443)</f>
        <v>3214157.31</v>
      </c>
      <c r="G443" s="4" t="s">
        <v>119</v>
      </c>
      <c r="H443" s="4" t="s">
        <v>120</v>
      </c>
      <c r="I443" s="4"/>
      <c r="J443" s="4"/>
      <c r="K443" s="4">
        <v>212</v>
      </c>
      <c r="L443" s="4">
        <v>37</v>
      </c>
      <c r="M443" s="4">
        <v>3</v>
      </c>
      <c r="N443" s="4" t="s">
        <v>6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3214157.31</v>
      </c>
      <c r="X443" s="4">
        <v>1</v>
      </c>
      <c r="Y443" s="4">
        <v>3214157.31</v>
      </c>
      <c r="Z443" s="4"/>
      <c r="AA443" s="4"/>
      <c r="AB443" s="4"/>
    </row>
    <row r="444" spans="1:206">
      <c r="A444" s="4">
        <v>50</v>
      </c>
      <c r="B444" s="4">
        <v>1</v>
      </c>
      <c r="C444" s="4">
        <v>0</v>
      </c>
      <c r="D444" s="4">
        <v>2</v>
      </c>
      <c r="E444" s="4">
        <v>0</v>
      </c>
      <c r="F444" s="4">
        <f>ROUND(ROUND(F443*0.2,2),O444)</f>
        <v>642831.46</v>
      </c>
      <c r="G444" s="4" t="s">
        <v>121</v>
      </c>
      <c r="H444" s="4" t="s">
        <v>122</v>
      </c>
      <c r="I444" s="4"/>
      <c r="J444" s="4"/>
      <c r="K444" s="4">
        <v>212</v>
      </c>
      <c r="L444" s="4">
        <v>38</v>
      </c>
      <c r="M444" s="4">
        <v>1</v>
      </c>
      <c r="N444" s="4" t="s">
        <v>6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642831.46</v>
      </c>
      <c r="X444" s="4">
        <v>1</v>
      </c>
      <c r="Y444" s="4">
        <v>642831.46</v>
      </c>
      <c r="Z444" s="4"/>
      <c r="AA444" s="4"/>
      <c r="AB444" s="4"/>
    </row>
    <row r="445" spans="1:206">
      <c r="A445" s="4">
        <v>50</v>
      </c>
      <c r="B445" s="4">
        <v>1</v>
      </c>
      <c r="C445" s="4">
        <v>0</v>
      </c>
      <c r="D445" s="4">
        <v>2</v>
      </c>
      <c r="E445" s="4">
        <v>213</v>
      </c>
      <c r="F445" s="4">
        <f>ROUND(ROUND(F443+F444,2),O445)</f>
        <v>3856988.77</v>
      </c>
      <c r="G445" s="4" t="s">
        <v>123</v>
      </c>
      <c r="H445" s="4" t="s">
        <v>124</v>
      </c>
      <c r="I445" s="4"/>
      <c r="J445" s="4"/>
      <c r="K445" s="4">
        <v>212</v>
      </c>
      <c r="L445" s="4">
        <v>39</v>
      </c>
      <c r="M445" s="4">
        <v>1</v>
      </c>
      <c r="N445" s="4" t="s">
        <v>6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3856988.77</v>
      </c>
      <c r="X445" s="4">
        <v>1</v>
      </c>
      <c r="Y445" s="4">
        <v>3856988.77</v>
      </c>
      <c r="Z445" s="4"/>
      <c r="AA445" s="4"/>
      <c r="AB445" s="4"/>
    </row>
    <row r="447" spans="1:206">
      <c r="A447" s="2">
        <v>51</v>
      </c>
      <c r="B447" s="2">
        <f>B12</f>
        <v>517</v>
      </c>
      <c r="C447" s="2">
        <f>A12</f>
        <v>1</v>
      </c>
      <c r="D447" s="2">
        <f>ROW(A12)</f>
        <v>12</v>
      </c>
      <c r="E447" s="2"/>
      <c r="F447" s="2" t="str">
        <f>IF(F12&lt;&gt;"",F12,"")</f>
        <v>Новый объект</v>
      </c>
      <c r="G447" s="2" t="str">
        <f>IF(G12&lt;&gt;"",G12,"")</f>
        <v>Монтаж АИИС КУЭ "Матрица" в ТП-1037</v>
      </c>
      <c r="H447" s="2">
        <v>0</v>
      </c>
      <c r="I447" s="2"/>
      <c r="J447" s="2"/>
      <c r="K447" s="2"/>
      <c r="L447" s="2"/>
      <c r="M447" s="2"/>
      <c r="N447" s="2"/>
      <c r="O447" s="2">
        <f t="shared" ref="O447:T447" si="188">ROUND(O405,2)</f>
        <v>3075376.16</v>
      </c>
      <c r="P447" s="2">
        <f t="shared" si="188"/>
        <v>2972330.98</v>
      </c>
      <c r="Q447" s="2">
        <f t="shared" si="188"/>
        <v>5934.66</v>
      </c>
      <c r="R447" s="2">
        <f t="shared" si="188"/>
        <v>2123.54</v>
      </c>
      <c r="S447" s="2">
        <f t="shared" si="188"/>
        <v>94986.98</v>
      </c>
      <c r="T447" s="2">
        <f t="shared" si="188"/>
        <v>0</v>
      </c>
      <c r="U447" s="2">
        <f>U405</f>
        <v>291.12199999999996</v>
      </c>
      <c r="V447" s="2">
        <f>V405</f>
        <v>13.37956</v>
      </c>
      <c r="W447" s="2">
        <f>ROUND(W405,2)</f>
        <v>0</v>
      </c>
      <c r="X447" s="2">
        <f>ROUND(X405,2)</f>
        <v>91244.9</v>
      </c>
      <c r="Y447" s="2">
        <f>ROUND(Y405,2)</f>
        <v>47536.25</v>
      </c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>
        <f t="shared" ref="AO447:BD447" si="189">ROUND(AO405,2)</f>
        <v>0</v>
      </c>
      <c r="AP447" s="2">
        <f t="shared" si="189"/>
        <v>0</v>
      </c>
      <c r="AQ447" s="2">
        <f t="shared" si="189"/>
        <v>0</v>
      </c>
      <c r="AR447" s="2">
        <f t="shared" si="189"/>
        <v>3214157.31</v>
      </c>
      <c r="AS447" s="2">
        <f t="shared" si="189"/>
        <v>2957608.93</v>
      </c>
      <c r="AT447" s="2">
        <f t="shared" si="189"/>
        <v>237366.03</v>
      </c>
      <c r="AU447" s="2">
        <f t="shared" si="189"/>
        <v>19182.349999999999</v>
      </c>
      <c r="AV447" s="2">
        <f t="shared" si="189"/>
        <v>2972330.98</v>
      </c>
      <c r="AW447" s="2">
        <f t="shared" si="189"/>
        <v>2972330.98</v>
      </c>
      <c r="AX447" s="2">
        <f t="shared" si="189"/>
        <v>0</v>
      </c>
      <c r="AY447" s="2">
        <f t="shared" si="189"/>
        <v>2972330.98</v>
      </c>
      <c r="AZ447" s="2">
        <f t="shared" si="189"/>
        <v>0</v>
      </c>
      <c r="BA447" s="2">
        <f t="shared" si="189"/>
        <v>0</v>
      </c>
      <c r="BB447" s="2">
        <f t="shared" si="189"/>
        <v>0</v>
      </c>
      <c r="BC447" s="2">
        <f t="shared" si="189"/>
        <v>0</v>
      </c>
      <c r="BD447" s="2">
        <f t="shared" si="189"/>
        <v>0</v>
      </c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3"/>
      <c r="DH447" s="3"/>
      <c r="DI447" s="3"/>
      <c r="DJ447" s="3"/>
      <c r="DK447" s="3"/>
      <c r="DL447" s="3"/>
      <c r="DM447" s="3"/>
      <c r="DN447" s="3"/>
      <c r="DO447" s="3"/>
      <c r="DP447" s="3"/>
      <c r="DQ447" s="3"/>
      <c r="DR447" s="3"/>
      <c r="DS447" s="3"/>
      <c r="DT447" s="3"/>
      <c r="DU447" s="3"/>
      <c r="DV447" s="3"/>
      <c r="DW447" s="3"/>
      <c r="DX447" s="3"/>
      <c r="DY447" s="3"/>
      <c r="DZ447" s="3"/>
      <c r="EA447" s="3"/>
      <c r="EB447" s="3"/>
      <c r="EC447" s="3"/>
      <c r="ED447" s="3"/>
      <c r="EE447" s="3"/>
      <c r="EF447" s="3"/>
      <c r="EG447" s="3"/>
      <c r="EH447" s="3"/>
      <c r="EI447" s="3"/>
      <c r="EJ447" s="3"/>
      <c r="EK447" s="3"/>
      <c r="EL447" s="3"/>
      <c r="EM447" s="3"/>
      <c r="EN447" s="3"/>
      <c r="EO447" s="3"/>
      <c r="EP447" s="3"/>
      <c r="EQ447" s="3"/>
      <c r="ER447" s="3"/>
      <c r="ES447" s="3"/>
      <c r="ET447" s="3"/>
      <c r="EU447" s="3"/>
      <c r="EV447" s="3"/>
      <c r="EW447" s="3"/>
      <c r="EX447" s="3"/>
      <c r="EY447" s="3"/>
      <c r="EZ447" s="3"/>
      <c r="FA447" s="3"/>
      <c r="FB447" s="3"/>
      <c r="FC447" s="3"/>
      <c r="FD447" s="3"/>
      <c r="FE447" s="3"/>
      <c r="FF447" s="3"/>
      <c r="FG447" s="3"/>
      <c r="FH447" s="3"/>
      <c r="FI447" s="3"/>
      <c r="FJ447" s="3"/>
      <c r="FK447" s="3"/>
      <c r="FL447" s="3"/>
      <c r="FM447" s="3"/>
      <c r="FN447" s="3"/>
      <c r="FO447" s="3"/>
      <c r="FP447" s="3"/>
      <c r="FQ447" s="3"/>
      <c r="FR447" s="3"/>
      <c r="FS447" s="3"/>
      <c r="FT447" s="3"/>
      <c r="FU447" s="3"/>
      <c r="FV447" s="3"/>
      <c r="FW447" s="3"/>
      <c r="FX447" s="3"/>
      <c r="FY447" s="3"/>
      <c r="FZ447" s="3"/>
      <c r="GA447" s="3"/>
      <c r="GB447" s="3"/>
      <c r="GC447" s="3"/>
      <c r="GD447" s="3"/>
      <c r="GE447" s="3"/>
      <c r="GF447" s="3"/>
      <c r="GG447" s="3"/>
      <c r="GH447" s="3"/>
      <c r="GI447" s="3"/>
      <c r="GJ447" s="3"/>
      <c r="GK447" s="3"/>
      <c r="GL447" s="3"/>
      <c r="GM447" s="3"/>
      <c r="GN447" s="3"/>
      <c r="GO447" s="3"/>
      <c r="GP447" s="3"/>
      <c r="GQ447" s="3"/>
      <c r="GR447" s="3"/>
      <c r="GS447" s="3"/>
      <c r="GT447" s="3"/>
      <c r="GU447" s="3"/>
      <c r="GV447" s="3"/>
      <c r="GW447" s="3"/>
      <c r="GX447" s="3">
        <v>0</v>
      </c>
    </row>
    <row r="449" spans="1:28">
      <c r="A449" s="4">
        <v>50</v>
      </c>
      <c r="B449" s="4">
        <v>0</v>
      </c>
      <c r="C449" s="4">
        <v>0</v>
      </c>
      <c r="D449" s="4">
        <v>1</v>
      </c>
      <c r="E449" s="4">
        <v>201</v>
      </c>
      <c r="F449" s="4">
        <f>ROUND(Source!O447,O449)</f>
        <v>3075376.16</v>
      </c>
      <c r="G449" s="4" t="s">
        <v>47</v>
      </c>
      <c r="H449" s="4" t="s">
        <v>48</v>
      </c>
      <c r="I449" s="4"/>
      <c r="J449" s="4"/>
      <c r="K449" s="4">
        <v>201</v>
      </c>
      <c r="L449" s="4">
        <v>1</v>
      </c>
      <c r="M449" s="4">
        <v>1</v>
      </c>
      <c r="N449" s="4" t="s">
        <v>6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3075376.16</v>
      </c>
      <c r="X449" s="4">
        <v>1</v>
      </c>
      <c r="Y449" s="4">
        <v>3075376.16</v>
      </c>
      <c r="Z449" s="4"/>
      <c r="AA449" s="4"/>
      <c r="AB449" s="4"/>
    </row>
    <row r="450" spans="1:28">
      <c r="A450" s="4">
        <v>50</v>
      </c>
      <c r="B450" s="4">
        <v>0</v>
      </c>
      <c r="C450" s="4">
        <v>0</v>
      </c>
      <c r="D450" s="4">
        <v>1</v>
      </c>
      <c r="E450" s="4">
        <v>202</v>
      </c>
      <c r="F450" s="4">
        <f>ROUND(Source!P447,O450)</f>
        <v>2972330.98</v>
      </c>
      <c r="G450" s="4" t="s">
        <v>49</v>
      </c>
      <c r="H450" s="4" t="s">
        <v>50</v>
      </c>
      <c r="I450" s="4"/>
      <c r="J450" s="4"/>
      <c r="K450" s="4">
        <v>202</v>
      </c>
      <c r="L450" s="4">
        <v>2</v>
      </c>
      <c r="M450" s="4">
        <v>1</v>
      </c>
      <c r="N450" s="4" t="s">
        <v>6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2972330.98</v>
      </c>
      <c r="X450" s="4">
        <v>1</v>
      </c>
      <c r="Y450" s="4">
        <v>2972330.98</v>
      </c>
      <c r="Z450" s="4"/>
      <c r="AA450" s="4"/>
      <c r="AB450" s="4"/>
    </row>
    <row r="451" spans="1:28">
      <c r="A451" s="4">
        <v>50</v>
      </c>
      <c r="B451" s="4">
        <v>0</v>
      </c>
      <c r="C451" s="4">
        <v>0</v>
      </c>
      <c r="D451" s="4">
        <v>1</v>
      </c>
      <c r="E451" s="4">
        <v>222</v>
      </c>
      <c r="F451" s="4">
        <f>ROUND(Source!AO447,O451)</f>
        <v>0</v>
      </c>
      <c r="G451" s="4" t="s">
        <v>51</v>
      </c>
      <c r="H451" s="4" t="s">
        <v>52</v>
      </c>
      <c r="I451" s="4"/>
      <c r="J451" s="4"/>
      <c r="K451" s="4">
        <v>222</v>
      </c>
      <c r="L451" s="4">
        <v>3</v>
      </c>
      <c r="M451" s="4">
        <v>3</v>
      </c>
      <c r="N451" s="4" t="s">
        <v>6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8">
      <c r="A452" s="4">
        <v>50</v>
      </c>
      <c r="B452" s="4">
        <v>0</v>
      </c>
      <c r="C452" s="4">
        <v>0</v>
      </c>
      <c r="D452" s="4">
        <v>1</v>
      </c>
      <c r="E452" s="4">
        <v>225</v>
      </c>
      <c r="F452" s="4">
        <f>ROUND(Source!AV447,O452)</f>
        <v>2972330.98</v>
      </c>
      <c r="G452" s="4" t="s">
        <v>53</v>
      </c>
      <c r="H452" s="4" t="s">
        <v>54</v>
      </c>
      <c r="I452" s="4"/>
      <c r="J452" s="4"/>
      <c r="K452" s="4">
        <v>225</v>
      </c>
      <c r="L452" s="4">
        <v>4</v>
      </c>
      <c r="M452" s="4">
        <v>3</v>
      </c>
      <c r="N452" s="4" t="s">
        <v>6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2972330.98</v>
      </c>
      <c r="X452" s="4">
        <v>1</v>
      </c>
      <c r="Y452" s="4">
        <v>2972330.98</v>
      </c>
      <c r="Z452" s="4"/>
      <c r="AA452" s="4"/>
      <c r="AB452" s="4"/>
    </row>
    <row r="453" spans="1:28">
      <c r="A453" s="4">
        <v>50</v>
      </c>
      <c r="B453" s="4">
        <v>0</v>
      </c>
      <c r="C453" s="4">
        <v>0</v>
      </c>
      <c r="D453" s="4">
        <v>1</v>
      </c>
      <c r="E453" s="4">
        <v>226</v>
      </c>
      <c r="F453" s="4">
        <f>ROUND(Source!AW447,O453)</f>
        <v>2972330.98</v>
      </c>
      <c r="G453" s="4" t="s">
        <v>55</v>
      </c>
      <c r="H453" s="4" t="s">
        <v>56</v>
      </c>
      <c r="I453" s="4"/>
      <c r="J453" s="4"/>
      <c r="K453" s="4">
        <v>226</v>
      </c>
      <c r="L453" s="4">
        <v>5</v>
      </c>
      <c r="M453" s="4">
        <v>3</v>
      </c>
      <c r="N453" s="4" t="s">
        <v>6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2972330.98</v>
      </c>
      <c r="X453" s="4">
        <v>1</v>
      </c>
      <c r="Y453" s="4">
        <v>2972330.98</v>
      </c>
      <c r="Z453" s="4"/>
      <c r="AA453" s="4"/>
      <c r="AB453" s="4"/>
    </row>
    <row r="454" spans="1:28">
      <c r="A454" s="4">
        <v>50</v>
      </c>
      <c r="B454" s="4">
        <v>0</v>
      </c>
      <c r="C454" s="4">
        <v>0</v>
      </c>
      <c r="D454" s="4">
        <v>1</v>
      </c>
      <c r="E454" s="4">
        <v>227</v>
      </c>
      <c r="F454" s="4">
        <f>ROUND(Source!AX447,O454)</f>
        <v>0</v>
      </c>
      <c r="G454" s="4" t="s">
        <v>57</v>
      </c>
      <c r="H454" s="4" t="s">
        <v>58</v>
      </c>
      <c r="I454" s="4"/>
      <c r="J454" s="4"/>
      <c r="K454" s="4">
        <v>227</v>
      </c>
      <c r="L454" s="4">
        <v>6</v>
      </c>
      <c r="M454" s="4">
        <v>3</v>
      </c>
      <c r="N454" s="4" t="s">
        <v>6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>
      <c r="A455" s="4">
        <v>50</v>
      </c>
      <c r="B455" s="4">
        <v>0</v>
      </c>
      <c r="C455" s="4">
        <v>0</v>
      </c>
      <c r="D455" s="4">
        <v>1</v>
      </c>
      <c r="E455" s="4">
        <v>228</v>
      </c>
      <c r="F455" s="4">
        <f>ROUND(Source!AY447,O455)</f>
        <v>2972330.98</v>
      </c>
      <c r="G455" s="4" t="s">
        <v>59</v>
      </c>
      <c r="H455" s="4" t="s">
        <v>60</v>
      </c>
      <c r="I455" s="4"/>
      <c r="J455" s="4"/>
      <c r="K455" s="4">
        <v>228</v>
      </c>
      <c r="L455" s="4">
        <v>7</v>
      </c>
      <c r="M455" s="4">
        <v>3</v>
      </c>
      <c r="N455" s="4" t="s">
        <v>6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2972330.98</v>
      </c>
      <c r="X455" s="4">
        <v>1</v>
      </c>
      <c r="Y455" s="4">
        <v>2972330.98</v>
      </c>
      <c r="Z455" s="4"/>
      <c r="AA455" s="4"/>
      <c r="AB455" s="4"/>
    </row>
    <row r="456" spans="1:28">
      <c r="A456" s="4">
        <v>50</v>
      </c>
      <c r="B456" s="4">
        <v>0</v>
      </c>
      <c r="C456" s="4">
        <v>0</v>
      </c>
      <c r="D456" s="4">
        <v>1</v>
      </c>
      <c r="E456" s="4">
        <v>216</v>
      </c>
      <c r="F456" s="4">
        <f>ROUND(Source!AP447,O456)</f>
        <v>0</v>
      </c>
      <c r="G456" s="4" t="s">
        <v>61</v>
      </c>
      <c r="H456" s="4" t="s">
        <v>62</v>
      </c>
      <c r="I456" s="4"/>
      <c r="J456" s="4"/>
      <c r="K456" s="4">
        <v>216</v>
      </c>
      <c r="L456" s="4">
        <v>8</v>
      </c>
      <c r="M456" s="4">
        <v>3</v>
      </c>
      <c r="N456" s="4" t="s">
        <v>6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>
      <c r="A457" s="4">
        <v>50</v>
      </c>
      <c r="B457" s="4">
        <v>0</v>
      </c>
      <c r="C457" s="4">
        <v>0</v>
      </c>
      <c r="D457" s="4">
        <v>1</v>
      </c>
      <c r="E457" s="4">
        <v>223</v>
      </c>
      <c r="F457" s="4">
        <f>ROUND(Source!AQ447,O457)</f>
        <v>0</v>
      </c>
      <c r="G457" s="4" t="s">
        <v>63</v>
      </c>
      <c r="H457" s="4" t="s">
        <v>64</v>
      </c>
      <c r="I457" s="4"/>
      <c r="J457" s="4"/>
      <c r="K457" s="4">
        <v>223</v>
      </c>
      <c r="L457" s="4">
        <v>9</v>
      </c>
      <c r="M457" s="4">
        <v>3</v>
      </c>
      <c r="N457" s="4" t="s">
        <v>6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8">
      <c r="A458" s="4">
        <v>50</v>
      </c>
      <c r="B458" s="4">
        <v>0</v>
      </c>
      <c r="C458" s="4">
        <v>0</v>
      </c>
      <c r="D458" s="4">
        <v>1</v>
      </c>
      <c r="E458" s="4">
        <v>229</v>
      </c>
      <c r="F458" s="4">
        <f>ROUND(Source!AZ447,O458)</f>
        <v>0</v>
      </c>
      <c r="G458" s="4" t="s">
        <v>65</v>
      </c>
      <c r="H458" s="4" t="s">
        <v>66</v>
      </c>
      <c r="I458" s="4"/>
      <c r="J458" s="4"/>
      <c r="K458" s="4">
        <v>229</v>
      </c>
      <c r="L458" s="4">
        <v>10</v>
      </c>
      <c r="M458" s="4">
        <v>3</v>
      </c>
      <c r="N458" s="4" t="s">
        <v>6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8">
      <c r="A459" s="4">
        <v>50</v>
      </c>
      <c r="B459" s="4">
        <v>0</v>
      </c>
      <c r="C459" s="4">
        <v>0</v>
      </c>
      <c r="D459" s="4">
        <v>1</v>
      </c>
      <c r="E459" s="4">
        <v>203</v>
      </c>
      <c r="F459" s="4">
        <f>ROUND(Source!Q447,O459)</f>
        <v>5934.66</v>
      </c>
      <c r="G459" s="4" t="s">
        <v>67</v>
      </c>
      <c r="H459" s="4" t="s">
        <v>68</v>
      </c>
      <c r="I459" s="4"/>
      <c r="J459" s="4"/>
      <c r="K459" s="4">
        <v>203</v>
      </c>
      <c r="L459" s="4">
        <v>11</v>
      </c>
      <c r="M459" s="4">
        <v>1</v>
      </c>
      <c r="N459" s="4" t="s">
        <v>6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5934.6600000000008</v>
      </c>
      <c r="X459" s="4">
        <v>1</v>
      </c>
      <c r="Y459" s="4">
        <v>5934.6600000000008</v>
      </c>
      <c r="Z459" s="4"/>
      <c r="AA459" s="4"/>
      <c r="AB459" s="4"/>
    </row>
    <row r="460" spans="1:28">
      <c r="A460" s="4">
        <v>50</v>
      </c>
      <c r="B460" s="4">
        <v>0</v>
      </c>
      <c r="C460" s="4">
        <v>0</v>
      </c>
      <c r="D460" s="4">
        <v>1</v>
      </c>
      <c r="E460" s="4">
        <v>231</v>
      </c>
      <c r="F460" s="4">
        <f>ROUND(Source!BB447,O460)</f>
        <v>0</v>
      </c>
      <c r="G460" s="4" t="s">
        <v>69</v>
      </c>
      <c r="H460" s="4" t="s">
        <v>70</v>
      </c>
      <c r="I460" s="4"/>
      <c r="J460" s="4"/>
      <c r="K460" s="4">
        <v>231</v>
      </c>
      <c r="L460" s="4">
        <v>12</v>
      </c>
      <c r="M460" s="4">
        <v>3</v>
      </c>
      <c r="N460" s="4" t="s">
        <v>6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8">
      <c r="A461" s="4">
        <v>50</v>
      </c>
      <c r="B461" s="4">
        <v>0</v>
      </c>
      <c r="C461" s="4">
        <v>0</v>
      </c>
      <c r="D461" s="4">
        <v>1</v>
      </c>
      <c r="E461" s="4">
        <v>204</v>
      </c>
      <c r="F461" s="4">
        <f>ROUND(Source!R447,O461)</f>
        <v>2123.54</v>
      </c>
      <c r="G461" s="4" t="s">
        <v>71</v>
      </c>
      <c r="H461" s="4" t="s">
        <v>72</v>
      </c>
      <c r="I461" s="4"/>
      <c r="J461" s="4"/>
      <c r="K461" s="4">
        <v>204</v>
      </c>
      <c r="L461" s="4">
        <v>13</v>
      </c>
      <c r="M461" s="4">
        <v>1</v>
      </c>
      <c r="N461" s="4" t="s">
        <v>6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2123.5400000000004</v>
      </c>
      <c r="X461" s="4">
        <v>1</v>
      </c>
      <c r="Y461" s="4">
        <v>2123.5400000000004</v>
      </c>
      <c r="Z461" s="4"/>
      <c r="AA461" s="4"/>
      <c r="AB461" s="4"/>
    </row>
    <row r="462" spans="1:28">
      <c r="A462" s="4">
        <v>50</v>
      </c>
      <c r="B462" s="4">
        <v>0</v>
      </c>
      <c r="C462" s="4">
        <v>0</v>
      </c>
      <c r="D462" s="4">
        <v>1</v>
      </c>
      <c r="E462" s="4">
        <v>205</v>
      </c>
      <c r="F462" s="4">
        <f>ROUND(Source!S447,O462)</f>
        <v>94986.98</v>
      </c>
      <c r="G462" s="4" t="s">
        <v>73</v>
      </c>
      <c r="H462" s="4" t="s">
        <v>74</v>
      </c>
      <c r="I462" s="4"/>
      <c r="J462" s="4"/>
      <c r="K462" s="4">
        <v>205</v>
      </c>
      <c r="L462" s="4">
        <v>14</v>
      </c>
      <c r="M462" s="4">
        <v>1</v>
      </c>
      <c r="N462" s="4" t="s">
        <v>6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94986.98</v>
      </c>
      <c r="X462" s="4">
        <v>1</v>
      </c>
      <c r="Y462" s="4">
        <v>94986.98</v>
      </c>
      <c r="Z462" s="4"/>
      <c r="AA462" s="4"/>
      <c r="AB462" s="4"/>
    </row>
    <row r="463" spans="1:28">
      <c r="A463" s="4">
        <v>50</v>
      </c>
      <c r="B463" s="4">
        <v>0</v>
      </c>
      <c r="C463" s="4">
        <v>0</v>
      </c>
      <c r="D463" s="4">
        <v>1</v>
      </c>
      <c r="E463" s="4">
        <v>232</v>
      </c>
      <c r="F463" s="4">
        <f>ROUND(Source!BC447,O463)</f>
        <v>0</v>
      </c>
      <c r="G463" s="4" t="s">
        <v>75</v>
      </c>
      <c r="H463" s="4" t="s">
        <v>76</v>
      </c>
      <c r="I463" s="4"/>
      <c r="J463" s="4"/>
      <c r="K463" s="4">
        <v>232</v>
      </c>
      <c r="L463" s="4">
        <v>15</v>
      </c>
      <c r="M463" s="4">
        <v>3</v>
      </c>
      <c r="N463" s="4" t="s">
        <v>6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>
      <c r="A464" s="4">
        <v>50</v>
      </c>
      <c r="B464" s="4">
        <v>0</v>
      </c>
      <c r="C464" s="4">
        <v>0</v>
      </c>
      <c r="D464" s="4">
        <v>1</v>
      </c>
      <c r="E464" s="4">
        <v>214</v>
      </c>
      <c r="F464" s="4">
        <f>ROUND(Source!AS447,O464)</f>
        <v>2957608.93</v>
      </c>
      <c r="G464" s="4" t="s">
        <v>77</v>
      </c>
      <c r="H464" s="4" t="s">
        <v>78</v>
      </c>
      <c r="I464" s="4"/>
      <c r="J464" s="4"/>
      <c r="K464" s="4">
        <v>214</v>
      </c>
      <c r="L464" s="4">
        <v>16</v>
      </c>
      <c r="M464" s="4">
        <v>3</v>
      </c>
      <c r="N464" s="4" t="s">
        <v>6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2957608.93</v>
      </c>
      <c r="X464" s="4">
        <v>1</v>
      </c>
      <c r="Y464" s="4">
        <v>2957608.93</v>
      </c>
      <c r="Z464" s="4"/>
      <c r="AA464" s="4"/>
      <c r="AB464" s="4"/>
    </row>
    <row r="465" spans="1:28">
      <c r="A465" s="4">
        <v>50</v>
      </c>
      <c r="B465" s="4">
        <v>0</v>
      </c>
      <c r="C465" s="4">
        <v>0</v>
      </c>
      <c r="D465" s="4">
        <v>1</v>
      </c>
      <c r="E465" s="4">
        <v>215</v>
      </c>
      <c r="F465" s="4">
        <f>ROUND(Source!AT447,O465)</f>
        <v>237366.03</v>
      </c>
      <c r="G465" s="4" t="s">
        <v>79</v>
      </c>
      <c r="H465" s="4" t="s">
        <v>80</v>
      </c>
      <c r="I465" s="4"/>
      <c r="J465" s="4"/>
      <c r="K465" s="4">
        <v>215</v>
      </c>
      <c r="L465" s="4">
        <v>17</v>
      </c>
      <c r="M465" s="4">
        <v>3</v>
      </c>
      <c r="N465" s="4" t="s">
        <v>6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237366.03</v>
      </c>
      <c r="X465" s="4">
        <v>1</v>
      </c>
      <c r="Y465" s="4">
        <v>237366.03</v>
      </c>
      <c r="Z465" s="4"/>
      <c r="AA465" s="4"/>
      <c r="AB465" s="4"/>
    </row>
    <row r="466" spans="1:28">
      <c r="A466" s="4">
        <v>50</v>
      </c>
      <c r="B466" s="4">
        <v>0</v>
      </c>
      <c r="C466" s="4">
        <v>0</v>
      </c>
      <c r="D466" s="4">
        <v>1</v>
      </c>
      <c r="E466" s="4">
        <v>217</v>
      </c>
      <c r="F466" s="4">
        <f>ROUND(Source!AU447,O466)</f>
        <v>19182.349999999999</v>
      </c>
      <c r="G466" s="4" t="s">
        <v>81</v>
      </c>
      <c r="H466" s="4" t="s">
        <v>82</v>
      </c>
      <c r="I466" s="4"/>
      <c r="J466" s="4"/>
      <c r="K466" s="4">
        <v>217</v>
      </c>
      <c r="L466" s="4">
        <v>18</v>
      </c>
      <c r="M466" s="4">
        <v>3</v>
      </c>
      <c r="N466" s="4" t="s">
        <v>6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19182.349999999999</v>
      </c>
      <c r="X466" s="4">
        <v>1</v>
      </c>
      <c r="Y466" s="4">
        <v>19182.349999999999</v>
      </c>
      <c r="Z466" s="4"/>
      <c r="AA466" s="4"/>
      <c r="AB466" s="4"/>
    </row>
    <row r="467" spans="1:28">
      <c r="A467" s="4">
        <v>50</v>
      </c>
      <c r="B467" s="4">
        <v>0</v>
      </c>
      <c r="C467" s="4">
        <v>0</v>
      </c>
      <c r="D467" s="4">
        <v>1</v>
      </c>
      <c r="E467" s="4">
        <v>230</v>
      </c>
      <c r="F467" s="4">
        <f>ROUND(Source!BA447,O467)</f>
        <v>0</v>
      </c>
      <c r="G467" s="4" t="s">
        <v>83</v>
      </c>
      <c r="H467" s="4" t="s">
        <v>84</v>
      </c>
      <c r="I467" s="4"/>
      <c r="J467" s="4"/>
      <c r="K467" s="4">
        <v>230</v>
      </c>
      <c r="L467" s="4">
        <v>19</v>
      </c>
      <c r="M467" s="4">
        <v>3</v>
      </c>
      <c r="N467" s="4" t="s">
        <v>6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>
      <c r="A468" s="4">
        <v>50</v>
      </c>
      <c r="B468" s="4">
        <v>0</v>
      </c>
      <c r="C468" s="4">
        <v>0</v>
      </c>
      <c r="D468" s="4">
        <v>1</v>
      </c>
      <c r="E468" s="4">
        <v>206</v>
      </c>
      <c r="F468" s="4">
        <f>ROUND(Source!T447,O468)</f>
        <v>0</v>
      </c>
      <c r="G468" s="4" t="s">
        <v>85</v>
      </c>
      <c r="H468" s="4" t="s">
        <v>86</v>
      </c>
      <c r="I468" s="4"/>
      <c r="J468" s="4"/>
      <c r="K468" s="4">
        <v>206</v>
      </c>
      <c r="L468" s="4">
        <v>20</v>
      </c>
      <c r="M468" s="4">
        <v>3</v>
      </c>
      <c r="N468" s="4" t="s">
        <v>6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>
      <c r="A469" s="4">
        <v>50</v>
      </c>
      <c r="B469" s="4">
        <v>0</v>
      </c>
      <c r="C469" s="4">
        <v>0</v>
      </c>
      <c r="D469" s="4">
        <v>1</v>
      </c>
      <c r="E469" s="4">
        <v>207</v>
      </c>
      <c r="F469" s="4">
        <f>Source!U447</f>
        <v>291.12199999999996</v>
      </c>
      <c r="G469" s="4" t="s">
        <v>87</v>
      </c>
      <c r="H469" s="4" t="s">
        <v>88</v>
      </c>
      <c r="I469" s="4"/>
      <c r="J469" s="4"/>
      <c r="K469" s="4">
        <v>207</v>
      </c>
      <c r="L469" s="4">
        <v>21</v>
      </c>
      <c r="M469" s="4">
        <v>3</v>
      </c>
      <c r="N469" s="4" t="s">
        <v>6</v>
      </c>
      <c r="O469" s="4">
        <v>-1</v>
      </c>
      <c r="P469" s="4"/>
      <c r="Q469" s="4"/>
      <c r="R469" s="4"/>
      <c r="S469" s="4"/>
      <c r="T469" s="4"/>
      <c r="U469" s="4"/>
      <c r="V469" s="4"/>
      <c r="W469" s="4">
        <v>291.12200000000001</v>
      </c>
      <c r="X469" s="4">
        <v>1</v>
      </c>
      <c r="Y469" s="4">
        <v>291.12200000000001</v>
      </c>
      <c r="Z469" s="4"/>
      <c r="AA469" s="4"/>
      <c r="AB469" s="4"/>
    </row>
    <row r="470" spans="1:28">
      <c r="A470" s="4">
        <v>50</v>
      </c>
      <c r="B470" s="4">
        <v>0</v>
      </c>
      <c r="C470" s="4">
        <v>0</v>
      </c>
      <c r="D470" s="4">
        <v>1</v>
      </c>
      <c r="E470" s="4">
        <v>208</v>
      </c>
      <c r="F470" s="4">
        <f>Source!V447</f>
        <v>13.37956</v>
      </c>
      <c r="G470" s="4" t="s">
        <v>89</v>
      </c>
      <c r="H470" s="4" t="s">
        <v>90</v>
      </c>
      <c r="I470" s="4"/>
      <c r="J470" s="4"/>
      <c r="K470" s="4">
        <v>208</v>
      </c>
      <c r="L470" s="4">
        <v>22</v>
      </c>
      <c r="M470" s="4">
        <v>3</v>
      </c>
      <c r="N470" s="4" t="s">
        <v>6</v>
      </c>
      <c r="O470" s="4">
        <v>-1</v>
      </c>
      <c r="P470" s="4"/>
      <c r="Q470" s="4"/>
      <c r="R470" s="4"/>
      <c r="S470" s="4"/>
      <c r="T470" s="4"/>
      <c r="U470" s="4"/>
      <c r="V470" s="4"/>
      <c r="W470" s="4">
        <v>6.0376000000000003</v>
      </c>
      <c r="X470" s="4">
        <v>1</v>
      </c>
      <c r="Y470" s="4">
        <v>6.0376000000000003</v>
      </c>
      <c r="Z470" s="4"/>
      <c r="AA470" s="4"/>
      <c r="AB470" s="4"/>
    </row>
    <row r="471" spans="1:28">
      <c r="A471" s="4">
        <v>50</v>
      </c>
      <c r="B471" s="4">
        <v>0</v>
      </c>
      <c r="C471" s="4">
        <v>0</v>
      </c>
      <c r="D471" s="4">
        <v>1</v>
      </c>
      <c r="E471" s="4">
        <v>209</v>
      </c>
      <c r="F471" s="4">
        <f>ROUND(Source!W447,O471)</f>
        <v>0</v>
      </c>
      <c r="G471" s="4" t="s">
        <v>91</v>
      </c>
      <c r="H471" s="4" t="s">
        <v>92</v>
      </c>
      <c r="I471" s="4"/>
      <c r="J471" s="4"/>
      <c r="K471" s="4">
        <v>209</v>
      </c>
      <c r="L471" s="4">
        <v>23</v>
      </c>
      <c r="M471" s="4">
        <v>3</v>
      </c>
      <c r="N471" s="4" t="s">
        <v>6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>
      <c r="A472" s="4">
        <v>50</v>
      </c>
      <c r="B472" s="4">
        <v>0</v>
      </c>
      <c r="C472" s="4">
        <v>0</v>
      </c>
      <c r="D472" s="4">
        <v>1</v>
      </c>
      <c r="E472" s="4">
        <v>233</v>
      </c>
      <c r="F472" s="4">
        <f>ROUND(Source!BD447,O472)</f>
        <v>0</v>
      </c>
      <c r="G472" s="4" t="s">
        <v>93</v>
      </c>
      <c r="H472" s="4" t="s">
        <v>94</v>
      </c>
      <c r="I472" s="4"/>
      <c r="J472" s="4"/>
      <c r="K472" s="4">
        <v>233</v>
      </c>
      <c r="L472" s="4">
        <v>24</v>
      </c>
      <c r="M472" s="4">
        <v>3</v>
      </c>
      <c r="N472" s="4" t="s">
        <v>6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>
      <c r="A473" s="4">
        <v>50</v>
      </c>
      <c r="B473" s="4">
        <v>0</v>
      </c>
      <c r="C473" s="4">
        <v>0</v>
      </c>
      <c r="D473" s="4">
        <v>1</v>
      </c>
      <c r="E473" s="4">
        <v>210</v>
      </c>
      <c r="F473" s="4">
        <f>ROUND(Source!X447,O473)</f>
        <v>91244.9</v>
      </c>
      <c r="G473" s="4" t="s">
        <v>95</v>
      </c>
      <c r="H473" s="4" t="s">
        <v>96</v>
      </c>
      <c r="I473" s="4"/>
      <c r="J473" s="4"/>
      <c r="K473" s="4">
        <v>210</v>
      </c>
      <c r="L473" s="4">
        <v>25</v>
      </c>
      <c r="M473" s="4">
        <v>1</v>
      </c>
      <c r="N473" s="4" t="s">
        <v>6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91244.9</v>
      </c>
      <c r="X473" s="4">
        <v>1</v>
      </c>
      <c r="Y473" s="4">
        <v>91244.9</v>
      </c>
      <c r="Z473" s="4"/>
      <c r="AA473" s="4"/>
      <c r="AB473" s="4"/>
    </row>
    <row r="474" spans="1:28">
      <c r="A474" s="4">
        <v>50</v>
      </c>
      <c r="B474" s="4">
        <v>0</v>
      </c>
      <c r="C474" s="4">
        <v>0</v>
      </c>
      <c r="D474" s="4">
        <v>1</v>
      </c>
      <c r="E474" s="4">
        <v>211</v>
      </c>
      <c r="F474" s="4">
        <f>ROUND(Source!Y447,O474)</f>
        <v>47536.25</v>
      </c>
      <c r="G474" s="4" t="s">
        <v>97</v>
      </c>
      <c r="H474" s="4" t="s">
        <v>98</v>
      </c>
      <c r="I474" s="4"/>
      <c r="J474" s="4"/>
      <c r="K474" s="4">
        <v>211</v>
      </c>
      <c r="L474" s="4">
        <v>26</v>
      </c>
      <c r="M474" s="4">
        <v>1</v>
      </c>
      <c r="N474" s="4" t="s">
        <v>6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47536.25</v>
      </c>
      <c r="X474" s="4">
        <v>1</v>
      </c>
      <c r="Y474" s="4">
        <v>47536.25</v>
      </c>
      <c r="Z474" s="4"/>
      <c r="AA474" s="4"/>
      <c r="AB474" s="4"/>
    </row>
    <row r="475" spans="1:28">
      <c r="A475" s="4">
        <v>50</v>
      </c>
      <c r="B475" s="4">
        <v>0</v>
      </c>
      <c r="C475" s="4">
        <v>0</v>
      </c>
      <c r="D475" s="4">
        <v>1</v>
      </c>
      <c r="E475" s="4">
        <v>224</v>
      </c>
      <c r="F475" s="4">
        <f>ROUND(Source!AR447,O475)</f>
        <v>3214157.31</v>
      </c>
      <c r="G475" s="4" t="s">
        <v>99</v>
      </c>
      <c r="H475" s="4" t="s">
        <v>100</v>
      </c>
      <c r="I475" s="4"/>
      <c r="J475" s="4"/>
      <c r="K475" s="4">
        <v>224</v>
      </c>
      <c r="L475" s="4">
        <v>27</v>
      </c>
      <c r="M475" s="4">
        <v>1</v>
      </c>
      <c r="N475" s="4" t="s">
        <v>6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3214157.31</v>
      </c>
      <c r="X475" s="4">
        <v>1</v>
      </c>
      <c r="Y475" s="4">
        <v>3214157.31</v>
      </c>
      <c r="Z475" s="4"/>
      <c r="AA475" s="4"/>
      <c r="AB475" s="4"/>
    </row>
    <row r="476" spans="1:28">
      <c r="A476" s="4">
        <v>50</v>
      </c>
      <c r="B476" s="4">
        <v>0</v>
      </c>
      <c r="C476" s="4">
        <v>0</v>
      </c>
      <c r="D476" s="4">
        <v>2</v>
      </c>
      <c r="E476" s="4">
        <v>0</v>
      </c>
      <c r="F476" s="4">
        <f>0</f>
        <v>0</v>
      </c>
      <c r="G476" s="4" t="s">
        <v>101</v>
      </c>
      <c r="H476" s="4" t="s">
        <v>102</v>
      </c>
      <c r="I476" s="4"/>
      <c r="J476" s="4"/>
      <c r="K476" s="4">
        <v>212</v>
      </c>
      <c r="L476" s="4">
        <v>28</v>
      </c>
      <c r="M476" s="4">
        <v>1</v>
      </c>
      <c r="N476" s="4" t="s">
        <v>6</v>
      </c>
      <c r="O476" s="4">
        <v>-1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>
      <c r="A477" s="4">
        <v>50</v>
      </c>
      <c r="B477" s="4">
        <v>0</v>
      </c>
      <c r="C477" s="4">
        <v>0</v>
      </c>
      <c r="D477" s="4">
        <v>2</v>
      </c>
      <c r="E477" s="4">
        <v>0</v>
      </c>
      <c r="F477" s="4">
        <f>ROUND(IF(F476=0,0,F475/100*F476),O477)</f>
        <v>0</v>
      </c>
      <c r="G477" s="4" t="s">
        <v>103</v>
      </c>
      <c r="H477" s="4" t="s">
        <v>104</v>
      </c>
      <c r="I477" s="4"/>
      <c r="J477" s="4"/>
      <c r="K477" s="4">
        <v>212</v>
      </c>
      <c r="L477" s="4">
        <v>29</v>
      </c>
      <c r="M477" s="4">
        <v>1</v>
      </c>
      <c r="N477" s="4" t="s">
        <v>6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>
      <c r="A478" s="4">
        <v>50</v>
      </c>
      <c r="B478" s="4">
        <v>0</v>
      </c>
      <c r="C478" s="4">
        <v>0</v>
      </c>
      <c r="D478" s="4">
        <v>2</v>
      </c>
      <c r="E478" s="4">
        <v>0</v>
      </c>
      <c r="F478" s="4">
        <f>ROUND(IF(F476=0,0,F475+F477),O478)</f>
        <v>0</v>
      </c>
      <c r="G478" s="4" t="s">
        <v>105</v>
      </c>
      <c r="H478" s="4" t="s">
        <v>106</v>
      </c>
      <c r="I478" s="4"/>
      <c r="J478" s="4"/>
      <c r="K478" s="4">
        <v>212</v>
      </c>
      <c r="L478" s="4">
        <v>30</v>
      </c>
      <c r="M478" s="4">
        <v>1</v>
      </c>
      <c r="N478" s="4" t="s">
        <v>6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8">
      <c r="A479" s="4">
        <v>50</v>
      </c>
      <c r="B479" s="4">
        <v>0</v>
      </c>
      <c r="C479" s="4">
        <v>0</v>
      </c>
      <c r="D479" s="4">
        <v>2</v>
      </c>
      <c r="E479" s="4">
        <v>0</v>
      </c>
      <c r="F479" s="4">
        <f>0</f>
        <v>0</v>
      </c>
      <c r="G479" s="4" t="s">
        <v>107</v>
      </c>
      <c r="H479" s="4" t="s">
        <v>108</v>
      </c>
      <c r="I479" s="4"/>
      <c r="J479" s="4"/>
      <c r="K479" s="4">
        <v>212</v>
      </c>
      <c r="L479" s="4">
        <v>31</v>
      </c>
      <c r="M479" s="4">
        <v>1</v>
      </c>
      <c r="N479" s="4" t="s">
        <v>6</v>
      </c>
      <c r="O479" s="4">
        <v>-1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>
      <c r="A480" s="4">
        <v>50</v>
      </c>
      <c r="B480" s="4">
        <v>0</v>
      </c>
      <c r="C480" s="4">
        <v>0</v>
      </c>
      <c r="D480" s="4">
        <v>2</v>
      </c>
      <c r="E480" s="4">
        <v>0</v>
      </c>
      <c r="F480" s="4">
        <f>ROUND(IF(F479=0,0,(F475+F477)/100*F479),O480)</f>
        <v>0</v>
      </c>
      <c r="G480" s="4" t="s">
        <v>109</v>
      </c>
      <c r="H480" s="4" t="s">
        <v>110</v>
      </c>
      <c r="I480" s="4"/>
      <c r="J480" s="4"/>
      <c r="K480" s="4">
        <v>212</v>
      </c>
      <c r="L480" s="4">
        <v>32</v>
      </c>
      <c r="M480" s="4">
        <v>1</v>
      </c>
      <c r="N480" s="4" t="s">
        <v>6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>
      <c r="A481" s="4">
        <v>50</v>
      </c>
      <c r="B481" s="4">
        <v>0</v>
      </c>
      <c r="C481" s="4">
        <v>0</v>
      </c>
      <c r="D481" s="4">
        <v>2</v>
      </c>
      <c r="E481" s="4">
        <v>0</v>
      </c>
      <c r="F481" s="4">
        <f>ROUND(IF(F480=0,0,F475+F477+F480),O481)</f>
        <v>0</v>
      </c>
      <c r="G481" s="4" t="s">
        <v>111</v>
      </c>
      <c r="H481" s="4" t="s">
        <v>112</v>
      </c>
      <c r="I481" s="4"/>
      <c r="J481" s="4"/>
      <c r="K481" s="4">
        <v>212</v>
      </c>
      <c r="L481" s="4">
        <v>33</v>
      </c>
      <c r="M481" s="4">
        <v>1</v>
      </c>
      <c r="N481" s="4" t="s">
        <v>6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>
      <c r="A482" s="4">
        <v>50</v>
      </c>
      <c r="B482" s="4">
        <v>0</v>
      </c>
      <c r="C482" s="4">
        <v>0</v>
      </c>
      <c r="D482" s="4">
        <v>2</v>
      </c>
      <c r="E482" s="4">
        <v>0</v>
      </c>
      <c r="F482" s="4">
        <f>0</f>
        <v>0</v>
      </c>
      <c r="G482" s="4" t="s">
        <v>113</v>
      </c>
      <c r="H482" s="4" t="s">
        <v>114</v>
      </c>
      <c r="I482" s="4"/>
      <c r="J482" s="4"/>
      <c r="K482" s="4">
        <v>212</v>
      </c>
      <c r="L482" s="4">
        <v>34</v>
      </c>
      <c r="M482" s="4">
        <v>1</v>
      </c>
      <c r="N482" s="4" t="s">
        <v>6</v>
      </c>
      <c r="O482" s="4">
        <v>-1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>
      <c r="A483" s="4">
        <v>50</v>
      </c>
      <c r="B483" s="4">
        <v>0</v>
      </c>
      <c r="C483" s="4">
        <v>0</v>
      </c>
      <c r="D483" s="4">
        <v>2</v>
      </c>
      <c r="E483" s="4">
        <v>0</v>
      </c>
      <c r="F483" s="4">
        <f>ROUND(IF(F482=0,0,(F475+F477+F480)/100*F482),O483)</f>
        <v>0</v>
      </c>
      <c r="G483" s="4" t="s">
        <v>115</v>
      </c>
      <c r="H483" s="4" t="s">
        <v>116</v>
      </c>
      <c r="I483" s="4"/>
      <c r="J483" s="4"/>
      <c r="K483" s="4">
        <v>212</v>
      </c>
      <c r="L483" s="4">
        <v>35</v>
      </c>
      <c r="M483" s="4">
        <v>1</v>
      </c>
      <c r="N483" s="4" t="s">
        <v>6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>
      <c r="A484" s="4">
        <v>50</v>
      </c>
      <c r="B484" s="4">
        <v>0</v>
      </c>
      <c r="C484" s="4">
        <v>0</v>
      </c>
      <c r="D484" s="4">
        <v>2</v>
      </c>
      <c r="E484" s="4">
        <v>0</v>
      </c>
      <c r="F484" s="4">
        <f>ROUND(IF(F483=0,0,F475+F477+F480+F483),O484)</f>
        <v>0</v>
      </c>
      <c r="G484" s="4" t="s">
        <v>117</v>
      </c>
      <c r="H484" s="4" t="s">
        <v>118</v>
      </c>
      <c r="I484" s="4"/>
      <c r="J484" s="4"/>
      <c r="K484" s="4">
        <v>212</v>
      </c>
      <c r="L484" s="4">
        <v>36</v>
      </c>
      <c r="M484" s="4">
        <v>1</v>
      </c>
      <c r="N484" s="4" t="s">
        <v>6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>
      <c r="A485" s="4">
        <v>50</v>
      </c>
      <c r="B485" s="4">
        <v>0</v>
      </c>
      <c r="C485" s="4">
        <v>0</v>
      </c>
      <c r="D485" s="4">
        <v>2</v>
      </c>
      <c r="E485" s="4">
        <v>0</v>
      </c>
      <c r="F485" s="4">
        <f>ROUND(ROUND(F475+F477+F480+F483,2),O485)</f>
        <v>3214157.31</v>
      </c>
      <c r="G485" s="4" t="s">
        <v>119</v>
      </c>
      <c r="H485" s="4" t="s">
        <v>120</v>
      </c>
      <c r="I485" s="4"/>
      <c r="J485" s="4"/>
      <c r="K485" s="4">
        <v>212</v>
      </c>
      <c r="L485" s="4">
        <v>37</v>
      </c>
      <c r="M485" s="4">
        <v>3</v>
      </c>
      <c r="N485" s="4" t="s">
        <v>6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3214157.31</v>
      </c>
      <c r="X485" s="4">
        <v>1</v>
      </c>
      <c r="Y485" s="4">
        <v>3214157.31</v>
      </c>
      <c r="Z485" s="4"/>
      <c r="AA485" s="4"/>
      <c r="AB485" s="4"/>
    </row>
    <row r="486" spans="1:28">
      <c r="A486" s="4">
        <v>50</v>
      </c>
      <c r="B486" s="4">
        <v>1</v>
      </c>
      <c r="C486" s="4">
        <v>0</v>
      </c>
      <c r="D486" s="4">
        <v>2</v>
      </c>
      <c r="E486" s="4">
        <v>0</v>
      </c>
      <c r="F486" s="4">
        <f>ROUND(ROUND(F485*0.2,2),O486)</f>
        <v>642831.46</v>
      </c>
      <c r="G486" s="4" t="s">
        <v>121</v>
      </c>
      <c r="H486" s="4" t="s">
        <v>122</v>
      </c>
      <c r="I486" s="4"/>
      <c r="J486" s="4"/>
      <c r="K486" s="4">
        <v>212</v>
      </c>
      <c r="L486" s="4">
        <v>38</v>
      </c>
      <c r="M486" s="4">
        <v>1</v>
      </c>
      <c r="N486" s="4" t="s">
        <v>6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642831.46</v>
      </c>
      <c r="X486" s="4">
        <v>1</v>
      </c>
      <c r="Y486" s="4">
        <v>642831.46</v>
      </c>
      <c r="Z486" s="4"/>
      <c r="AA486" s="4"/>
      <c r="AB486" s="4"/>
    </row>
    <row r="487" spans="1:28">
      <c r="A487" s="4">
        <v>50</v>
      </c>
      <c r="B487" s="4">
        <v>1</v>
      </c>
      <c r="C487" s="4">
        <v>0</v>
      </c>
      <c r="D487" s="4">
        <v>2</v>
      </c>
      <c r="E487" s="4">
        <v>213</v>
      </c>
      <c r="F487" s="4">
        <f>ROUND(ROUND(F485+F486,2),O487)</f>
        <v>3856988.77</v>
      </c>
      <c r="G487" s="4" t="s">
        <v>123</v>
      </c>
      <c r="H487" s="4" t="s">
        <v>124</v>
      </c>
      <c r="I487" s="4"/>
      <c r="J487" s="4"/>
      <c r="K487" s="4">
        <v>212</v>
      </c>
      <c r="L487" s="4">
        <v>39</v>
      </c>
      <c r="M487" s="4">
        <v>1</v>
      </c>
      <c r="N487" s="4" t="s">
        <v>6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3856988.77</v>
      </c>
      <c r="X487" s="4">
        <v>1</v>
      </c>
      <c r="Y487" s="4">
        <v>3856988.77</v>
      </c>
      <c r="Z487" s="4"/>
      <c r="AA487" s="4"/>
      <c r="AB487" s="4"/>
    </row>
    <row r="489" spans="1:28">
      <c r="A489">
        <v>71</v>
      </c>
      <c r="B489">
        <v>1</v>
      </c>
      <c r="D489">
        <v>200001</v>
      </c>
      <c r="E489">
        <v>40053432</v>
      </c>
      <c r="F489" t="s">
        <v>247</v>
      </c>
      <c r="G489" t="s">
        <v>248</v>
      </c>
      <c r="H489">
        <v>80</v>
      </c>
      <c r="I489">
        <v>20</v>
      </c>
    </row>
    <row r="492" spans="1:28">
      <c r="A492">
        <v>70</v>
      </c>
      <c r="B492">
        <v>1</v>
      </c>
      <c r="D492">
        <v>1</v>
      </c>
      <c r="E492" t="s">
        <v>249</v>
      </c>
      <c r="F492" t="s">
        <v>250</v>
      </c>
      <c r="G492">
        <v>1</v>
      </c>
      <c r="H492">
        <v>0</v>
      </c>
      <c r="I492" t="s">
        <v>6</v>
      </c>
      <c r="J492">
        <v>1</v>
      </c>
      <c r="K492">
        <v>0</v>
      </c>
      <c r="L492" t="s">
        <v>6</v>
      </c>
      <c r="M492" t="s">
        <v>6</v>
      </c>
      <c r="N492">
        <v>0</v>
      </c>
      <c r="P492" t="s">
        <v>251</v>
      </c>
    </row>
    <row r="493" spans="1:28">
      <c r="A493">
        <v>70</v>
      </c>
      <c r="B493">
        <v>1</v>
      </c>
      <c r="D493">
        <v>2</v>
      </c>
      <c r="E493" t="s">
        <v>252</v>
      </c>
      <c r="F493" t="s">
        <v>253</v>
      </c>
      <c r="G493">
        <v>0</v>
      </c>
      <c r="H493">
        <v>0</v>
      </c>
      <c r="I493" t="s">
        <v>6</v>
      </c>
      <c r="J493">
        <v>1</v>
      </c>
      <c r="K493">
        <v>0</v>
      </c>
      <c r="L493" t="s">
        <v>6</v>
      </c>
      <c r="M493" t="s">
        <v>6</v>
      </c>
      <c r="N493">
        <v>0</v>
      </c>
      <c r="P493" t="s">
        <v>254</v>
      </c>
    </row>
    <row r="494" spans="1:28">
      <c r="A494">
        <v>70</v>
      </c>
      <c r="B494">
        <v>1</v>
      </c>
      <c r="D494">
        <v>3</v>
      </c>
      <c r="E494" t="s">
        <v>255</v>
      </c>
      <c r="F494" t="s">
        <v>256</v>
      </c>
      <c r="G494">
        <v>0</v>
      </c>
      <c r="H494">
        <v>0</v>
      </c>
      <c r="I494" t="s">
        <v>6</v>
      </c>
      <c r="J494">
        <v>1</v>
      </c>
      <c r="K494">
        <v>0</v>
      </c>
      <c r="L494" t="s">
        <v>6</v>
      </c>
      <c r="M494" t="s">
        <v>6</v>
      </c>
      <c r="N494">
        <v>0</v>
      </c>
      <c r="P494" t="s">
        <v>257</v>
      </c>
    </row>
    <row r="495" spans="1:28">
      <c r="A495">
        <v>70</v>
      </c>
      <c r="B495">
        <v>1</v>
      </c>
      <c r="D495">
        <v>4</v>
      </c>
      <c r="E495" t="s">
        <v>258</v>
      </c>
      <c r="F495" t="s">
        <v>259</v>
      </c>
      <c r="G495">
        <v>1</v>
      </c>
      <c r="H495">
        <v>0</v>
      </c>
      <c r="I495" t="s">
        <v>6</v>
      </c>
      <c r="J495">
        <v>2</v>
      </c>
      <c r="K495">
        <v>0</v>
      </c>
      <c r="L495" t="s">
        <v>6</v>
      </c>
      <c r="M495" t="s">
        <v>6</v>
      </c>
      <c r="N495">
        <v>0</v>
      </c>
      <c r="P495" t="s">
        <v>6</v>
      </c>
    </row>
    <row r="496" spans="1:28">
      <c r="A496">
        <v>70</v>
      </c>
      <c r="B496">
        <v>1</v>
      </c>
      <c r="D496">
        <v>5</v>
      </c>
      <c r="E496" t="s">
        <v>260</v>
      </c>
      <c r="F496" t="s">
        <v>261</v>
      </c>
      <c r="G496">
        <v>0</v>
      </c>
      <c r="H496">
        <v>0</v>
      </c>
      <c r="I496" t="s">
        <v>6</v>
      </c>
      <c r="J496">
        <v>2</v>
      </c>
      <c r="K496">
        <v>0</v>
      </c>
      <c r="L496" t="s">
        <v>6</v>
      </c>
      <c r="M496" t="s">
        <v>6</v>
      </c>
      <c r="N496">
        <v>0</v>
      </c>
      <c r="P496" t="s">
        <v>6</v>
      </c>
    </row>
    <row r="497" spans="1:16">
      <c r="A497">
        <v>70</v>
      </c>
      <c r="B497">
        <v>1</v>
      </c>
      <c r="D497">
        <v>6</v>
      </c>
      <c r="E497" t="s">
        <v>262</v>
      </c>
      <c r="F497" t="s">
        <v>263</v>
      </c>
      <c r="G497">
        <v>0</v>
      </c>
      <c r="H497">
        <v>0</v>
      </c>
      <c r="I497" t="s">
        <v>6</v>
      </c>
      <c r="J497">
        <v>2</v>
      </c>
      <c r="K497">
        <v>0</v>
      </c>
      <c r="L497" t="s">
        <v>6</v>
      </c>
      <c r="M497" t="s">
        <v>6</v>
      </c>
      <c r="N497">
        <v>0</v>
      </c>
      <c r="P497" t="s">
        <v>6</v>
      </c>
    </row>
    <row r="498" spans="1:16">
      <c r="A498">
        <v>70</v>
      </c>
      <c r="B498">
        <v>1</v>
      </c>
      <c r="D498">
        <v>7</v>
      </c>
      <c r="E498" t="s">
        <v>264</v>
      </c>
      <c r="F498" t="s">
        <v>265</v>
      </c>
      <c r="G498">
        <v>0</v>
      </c>
      <c r="H498">
        <v>0</v>
      </c>
      <c r="I498" t="s">
        <v>266</v>
      </c>
      <c r="J498">
        <v>0</v>
      </c>
      <c r="K498">
        <v>0</v>
      </c>
      <c r="L498" t="s">
        <v>6</v>
      </c>
      <c r="M498" t="s">
        <v>6</v>
      </c>
      <c r="N498">
        <v>0</v>
      </c>
      <c r="P498" t="s">
        <v>267</v>
      </c>
    </row>
    <row r="499" spans="1:16">
      <c r="A499">
        <v>70</v>
      </c>
      <c r="B499">
        <v>1</v>
      </c>
      <c r="D499">
        <v>8</v>
      </c>
      <c r="E499" t="s">
        <v>268</v>
      </c>
      <c r="F499" t="s">
        <v>269</v>
      </c>
      <c r="G499">
        <v>1</v>
      </c>
      <c r="H499">
        <v>0</v>
      </c>
      <c r="I499" t="s">
        <v>6</v>
      </c>
      <c r="J499">
        <v>5</v>
      </c>
      <c r="K499">
        <v>0</v>
      </c>
      <c r="L499" t="s">
        <v>6</v>
      </c>
      <c r="M499" t="s">
        <v>6</v>
      </c>
      <c r="N499">
        <v>0</v>
      </c>
      <c r="P499" t="s">
        <v>6</v>
      </c>
    </row>
    <row r="500" spans="1:16">
      <c r="A500">
        <v>70</v>
      </c>
      <c r="B500">
        <v>1</v>
      </c>
      <c r="D500">
        <v>9</v>
      </c>
      <c r="E500" t="s">
        <v>270</v>
      </c>
      <c r="F500" t="s">
        <v>271</v>
      </c>
      <c r="G500">
        <v>0</v>
      </c>
      <c r="H500">
        <v>0</v>
      </c>
      <c r="I500" t="s">
        <v>6</v>
      </c>
      <c r="J500">
        <v>5</v>
      </c>
      <c r="K500">
        <v>0</v>
      </c>
      <c r="L500" t="s">
        <v>6</v>
      </c>
      <c r="M500" t="s">
        <v>6</v>
      </c>
      <c r="N500">
        <v>0</v>
      </c>
      <c r="P500" t="s">
        <v>272</v>
      </c>
    </row>
    <row r="501" spans="1:16">
      <c r="A501">
        <v>70</v>
      </c>
      <c r="B501">
        <v>1</v>
      </c>
      <c r="D501">
        <v>10</v>
      </c>
      <c r="E501" t="s">
        <v>273</v>
      </c>
      <c r="F501" t="s">
        <v>274</v>
      </c>
      <c r="G501">
        <v>0</v>
      </c>
      <c r="H501">
        <v>0</v>
      </c>
      <c r="I501" t="s">
        <v>275</v>
      </c>
      <c r="J501">
        <v>5</v>
      </c>
      <c r="K501">
        <v>0</v>
      </c>
      <c r="L501" t="s">
        <v>6</v>
      </c>
      <c r="M501" t="s">
        <v>6</v>
      </c>
      <c r="N501">
        <v>0</v>
      </c>
      <c r="P501" t="s">
        <v>276</v>
      </c>
    </row>
    <row r="502" spans="1:16">
      <c r="A502">
        <v>70</v>
      </c>
      <c r="B502">
        <v>1</v>
      </c>
      <c r="D502">
        <v>11</v>
      </c>
      <c r="E502" t="s">
        <v>277</v>
      </c>
      <c r="F502" t="s">
        <v>278</v>
      </c>
      <c r="G502">
        <v>0</v>
      </c>
      <c r="H502">
        <v>0</v>
      </c>
      <c r="I502" t="s">
        <v>279</v>
      </c>
      <c r="J502">
        <v>0</v>
      </c>
      <c r="K502">
        <v>0</v>
      </c>
      <c r="L502" t="s">
        <v>6</v>
      </c>
      <c r="M502" t="s">
        <v>6</v>
      </c>
      <c r="N502">
        <v>0</v>
      </c>
      <c r="P502" t="s">
        <v>280</v>
      </c>
    </row>
    <row r="503" spans="1:16">
      <c r="A503">
        <v>70</v>
      </c>
      <c r="B503">
        <v>1</v>
      </c>
      <c r="D503">
        <v>12</v>
      </c>
      <c r="E503" t="s">
        <v>281</v>
      </c>
      <c r="F503" t="s">
        <v>282</v>
      </c>
      <c r="G503">
        <v>0</v>
      </c>
      <c r="H503">
        <v>0</v>
      </c>
      <c r="I503" t="s">
        <v>283</v>
      </c>
      <c r="J503">
        <v>0</v>
      </c>
      <c r="K503">
        <v>0</v>
      </c>
      <c r="L503" t="s">
        <v>6</v>
      </c>
      <c r="M503" t="s">
        <v>6</v>
      </c>
      <c r="N503">
        <v>0</v>
      </c>
      <c r="P503" t="s">
        <v>284</v>
      </c>
    </row>
    <row r="504" spans="1:16">
      <c r="A504">
        <v>70</v>
      </c>
      <c r="B504">
        <v>1</v>
      </c>
      <c r="D504">
        <v>13</v>
      </c>
      <c r="E504" t="s">
        <v>285</v>
      </c>
      <c r="F504" t="s">
        <v>286</v>
      </c>
      <c r="G504">
        <v>0</v>
      </c>
      <c r="H504">
        <v>0</v>
      </c>
      <c r="I504" t="s">
        <v>287</v>
      </c>
      <c r="J504">
        <v>0</v>
      </c>
      <c r="K504">
        <v>0</v>
      </c>
      <c r="L504" t="s">
        <v>6</v>
      </c>
      <c r="M504" t="s">
        <v>6</v>
      </c>
      <c r="N504">
        <v>0</v>
      </c>
      <c r="P504" t="s">
        <v>288</v>
      </c>
    </row>
    <row r="505" spans="1:16">
      <c r="A505">
        <v>70</v>
      </c>
      <c r="B505">
        <v>1</v>
      </c>
      <c r="D505">
        <v>14</v>
      </c>
      <c r="E505" t="s">
        <v>289</v>
      </c>
      <c r="F505" t="s">
        <v>290</v>
      </c>
      <c r="G505">
        <v>0</v>
      </c>
      <c r="H505">
        <v>0</v>
      </c>
      <c r="I505" t="s">
        <v>6</v>
      </c>
      <c r="J505">
        <v>0</v>
      </c>
      <c r="K505">
        <v>0</v>
      </c>
      <c r="L505" t="s">
        <v>6</v>
      </c>
      <c r="M505" t="s">
        <v>6</v>
      </c>
      <c r="N505">
        <v>0</v>
      </c>
      <c r="P505" t="s">
        <v>291</v>
      </c>
    </row>
    <row r="506" spans="1:16">
      <c r="A506">
        <v>70</v>
      </c>
      <c r="B506">
        <v>1</v>
      </c>
      <c r="D506">
        <v>15</v>
      </c>
      <c r="E506" t="s">
        <v>292</v>
      </c>
      <c r="F506" t="s">
        <v>293</v>
      </c>
      <c r="G506">
        <v>0</v>
      </c>
      <c r="H506">
        <v>0</v>
      </c>
      <c r="I506" t="s">
        <v>6</v>
      </c>
      <c r="J506">
        <v>3</v>
      </c>
      <c r="K506">
        <v>0</v>
      </c>
      <c r="L506" t="s">
        <v>6</v>
      </c>
      <c r="M506" t="s">
        <v>6</v>
      </c>
      <c r="N506">
        <v>0</v>
      </c>
      <c r="P506" t="s">
        <v>6</v>
      </c>
    </row>
    <row r="507" spans="1:16">
      <c r="A507">
        <v>70</v>
      </c>
      <c r="B507">
        <v>1</v>
      </c>
      <c r="D507">
        <v>16</v>
      </c>
      <c r="E507" t="s">
        <v>294</v>
      </c>
      <c r="F507" t="s">
        <v>295</v>
      </c>
      <c r="G507">
        <v>1</v>
      </c>
      <c r="H507">
        <v>0</v>
      </c>
      <c r="I507" t="s">
        <v>6</v>
      </c>
      <c r="J507">
        <v>3</v>
      </c>
      <c r="K507">
        <v>0</v>
      </c>
      <c r="L507" t="s">
        <v>6</v>
      </c>
      <c r="M507" t="s">
        <v>6</v>
      </c>
      <c r="N507">
        <v>0</v>
      </c>
      <c r="P507" t="s">
        <v>6</v>
      </c>
    </row>
    <row r="508" spans="1:16">
      <c r="A508">
        <v>70</v>
      </c>
      <c r="B508">
        <v>1</v>
      </c>
      <c r="D508">
        <v>1</v>
      </c>
      <c r="E508" t="s">
        <v>296</v>
      </c>
      <c r="F508" t="s">
        <v>297</v>
      </c>
      <c r="G508">
        <v>0.9</v>
      </c>
      <c r="H508">
        <v>1</v>
      </c>
      <c r="I508" t="s">
        <v>298</v>
      </c>
      <c r="J508">
        <v>0</v>
      </c>
      <c r="K508">
        <v>0</v>
      </c>
      <c r="L508" t="s">
        <v>6</v>
      </c>
      <c r="M508" t="s">
        <v>6</v>
      </c>
      <c r="N508">
        <v>0</v>
      </c>
      <c r="P508" t="s">
        <v>299</v>
      </c>
    </row>
    <row r="509" spans="1:16">
      <c r="A509">
        <v>70</v>
      </c>
      <c r="B509">
        <v>1</v>
      </c>
      <c r="D509">
        <v>2</v>
      </c>
      <c r="E509" t="s">
        <v>300</v>
      </c>
      <c r="F509" t="s">
        <v>301</v>
      </c>
      <c r="G509">
        <v>0.85</v>
      </c>
      <c r="H509">
        <v>1</v>
      </c>
      <c r="I509" t="s">
        <v>302</v>
      </c>
      <c r="J509">
        <v>0</v>
      </c>
      <c r="K509">
        <v>0</v>
      </c>
      <c r="L509" t="s">
        <v>6</v>
      </c>
      <c r="M509" t="s">
        <v>6</v>
      </c>
      <c r="N509">
        <v>0</v>
      </c>
      <c r="P509" t="s">
        <v>303</v>
      </c>
    </row>
    <row r="510" spans="1:16">
      <c r="A510">
        <v>70</v>
      </c>
      <c r="B510">
        <v>1</v>
      </c>
      <c r="D510">
        <v>3</v>
      </c>
      <c r="E510" t="s">
        <v>304</v>
      </c>
      <c r="F510" t="s">
        <v>305</v>
      </c>
      <c r="G510">
        <v>1.03</v>
      </c>
      <c r="H510">
        <v>0</v>
      </c>
      <c r="I510" t="s">
        <v>6</v>
      </c>
      <c r="J510">
        <v>0</v>
      </c>
      <c r="K510">
        <v>0</v>
      </c>
      <c r="L510" t="s">
        <v>6</v>
      </c>
      <c r="M510" t="s">
        <v>6</v>
      </c>
      <c r="N510">
        <v>0</v>
      </c>
      <c r="P510" t="s">
        <v>306</v>
      </c>
    </row>
    <row r="511" spans="1:16">
      <c r="A511">
        <v>70</v>
      </c>
      <c r="B511">
        <v>1</v>
      </c>
      <c r="D511">
        <v>4</v>
      </c>
      <c r="E511" t="s">
        <v>307</v>
      </c>
      <c r="F511" t="s">
        <v>308</v>
      </c>
      <c r="G511">
        <v>1.1499999999999999</v>
      </c>
      <c r="H511">
        <v>0</v>
      </c>
      <c r="I511" t="s">
        <v>6</v>
      </c>
      <c r="J511">
        <v>0</v>
      </c>
      <c r="K511">
        <v>0</v>
      </c>
      <c r="L511" t="s">
        <v>6</v>
      </c>
      <c r="M511" t="s">
        <v>6</v>
      </c>
      <c r="N511">
        <v>0</v>
      </c>
      <c r="P511" t="s">
        <v>309</v>
      </c>
    </row>
    <row r="512" spans="1:16">
      <c r="A512">
        <v>70</v>
      </c>
      <c r="B512">
        <v>1</v>
      </c>
      <c r="D512">
        <v>5</v>
      </c>
      <c r="E512" t="s">
        <v>310</v>
      </c>
      <c r="F512" t="s">
        <v>311</v>
      </c>
      <c r="G512">
        <v>7</v>
      </c>
      <c r="H512">
        <v>0</v>
      </c>
      <c r="I512" t="s">
        <v>6</v>
      </c>
      <c r="J512">
        <v>0</v>
      </c>
      <c r="K512">
        <v>0</v>
      </c>
      <c r="L512" t="s">
        <v>6</v>
      </c>
      <c r="M512" t="s">
        <v>6</v>
      </c>
      <c r="N512">
        <v>0</v>
      </c>
      <c r="P512" t="s">
        <v>6</v>
      </c>
    </row>
    <row r="513" spans="1:50">
      <c r="A513">
        <v>70</v>
      </c>
      <c r="B513">
        <v>1</v>
      </c>
      <c r="D513">
        <v>6</v>
      </c>
      <c r="E513" t="s">
        <v>312</v>
      </c>
      <c r="F513" t="s">
        <v>6</v>
      </c>
      <c r="G513">
        <v>2</v>
      </c>
      <c r="H513">
        <v>0</v>
      </c>
      <c r="I513" t="s">
        <v>6</v>
      </c>
      <c r="J513">
        <v>0</v>
      </c>
      <c r="K513">
        <v>0</v>
      </c>
      <c r="L513" t="s">
        <v>6</v>
      </c>
      <c r="M513" t="s">
        <v>6</v>
      </c>
      <c r="N513">
        <v>0</v>
      </c>
      <c r="P513" t="s">
        <v>6</v>
      </c>
    </row>
    <row r="515" spans="1:50">
      <c r="A515">
        <v>-1</v>
      </c>
    </row>
    <row r="517" spans="1:50">
      <c r="A517" s="3">
        <v>75</v>
      </c>
      <c r="B517" s="3" t="s">
        <v>313</v>
      </c>
      <c r="C517" s="3">
        <v>2023</v>
      </c>
      <c r="D517" s="3">
        <v>4</v>
      </c>
      <c r="E517" s="3">
        <v>0</v>
      </c>
      <c r="F517" s="3">
        <v>1</v>
      </c>
      <c r="G517" s="3">
        <v>0</v>
      </c>
      <c r="H517" s="3">
        <v>1</v>
      </c>
      <c r="I517" s="3">
        <v>0</v>
      </c>
      <c r="J517" s="3">
        <v>3</v>
      </c>
      <c r="K517" s="3">
        <v>0</v>
      </c>
      <c r="L517" s="3">
        <v>0</v>
      </c>
      <c r="M517" s="3">
        <v>0</v>
      </c>
      <c r="N517" s="3">
        <v>41853493</v>
      </c>
      <c r="O517" s="3">
        <v>1</v>
      </c>
    </row>
    <row r="518" spans="1:50">
      <c r="A518" s="5">
        <v>2</v>
      </c>
      <c r="B518" s="5" t="s">
        <v>314</v>
      </c>
      <c r="C518" s="5" t="s">
        <v>315</v>
      </c>
      <c r="D518" s="5">
        <v>0</v>
      </c>
      <c r="E518" s="5">
        <v>0</v>
      </c>
      <c r="F518" s="5">
        <v>0</v>
      </c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>
        <v>41853494</v>
      </c>
    </row>
    <row r="519" spans="1:50">
      <c r="A519" s="5">
        <v>1</v>
      </c>
      <c r="B519" s="5" t="s">
        <v>316</v>
      </c>
      <c r="C519" s="5" t="s">
        <v>317</v>
      </c>
      <c r="D519" s="5">
        <v>2023</v>
      </c>
      <c r="E519" s="5">
        <v>11</v>
      </c>
      <c r="F519" s="5">
        <v>1</v>
      </c>
      <c r="G519" s="5">
        <v>1</v>
      </c>
      <c r="H519" s="5">
        <v>0</v>
      </c>
      <c r="I519" s="5">
        <v>2</v>
      </c>
      <c r="J519" s="5">
        <v>1</v>
      </c>
      <c r="K519" s="5">
        <v>1</v>
      </c>
      <c r="L519" s="5">
        <v>1</v>
      </c>
      <c r="M519" s="5">
        <v>1</v>
      </c>
      <c r="N519" s="5">
        <v>1</v>
      </c>
      <c r="O519" s="5">
        <v>1</v>
      </c>
      <c r="P519" s="5">
        <v>1</v>
      </c>
      <c r="Q519" s="5">
        <v>1</v>
      </c>
      <c r="R519" s="5" t="s">
        <v>6</v>
      </c>
      <c r="S519" s="5" t="s">
        <v>6</v>
      </c>
      <c r="T519" s="5" t="s">
        <v>6</v>
      </c>
      <c r="U519" s="5" t="s">
        <v>6</v>
      </c>
      <c r="V519" s="5" t="s">
        <v>6</v>
      </c>
      <c r="W519" s="5" t="s">
        <v>6</v>
      </c>
      <c r="X519" s="5" t="s">
        <v>6</v>
      </c>
      <c r="Y519" s="5" t="s">
        <v>6</v>
      </c>
      <c r="Z519" s="5" t="s">
        <v>6</v>
      </c>
      <c r="AA519" s="5" t="s">
        <v>6</v>
      </c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>
        <v>41853495</v>
      </c>
      <c r="AO519" s="5"/>
      <c r="AP519" s="5"/>
      <c r="AQ519" s="5"/>
      <c r="AR519" s="5"/>
      <c r="AS519" s="5"/>
      <c r="AT519" s="5"/>
      <c r="AU519" s="5"/>
      <c r="AV519" s="5"/>
      <c r="AW519" s="5"/>
      <c r="AX519" s="5"/>
    </row>
    <row r="523" spans="1:50">
      <c r="A523">
        <v>65</v>
      </c>
      <c r="C523">
        <v>1</v>
      </c>
      <c r="D523">
        <v>0</v>
      </c>
      <c r="E52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C65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318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41190</v>
      </c>
      <c r="M1">
        <v>10</v>
      </c>
      <c r="N1">
        <v>11</v>
      </c>
      <c r="O1">
        <v>7</v>
      </c>
      <c r="P1">
        <v>0</v>
      </c>
      <c r="Q1">
        <v>3</v>
      </c>
    </row>
    <row r="12" spans="1:133">
      <c r="A12" s="1">
        <v>1</v>
      </c>
      <c r="B12" s="1">
        <v>63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6</v>
      </c>
      <c r="CJ12" s="1" t="s">
        <v>6</v>
      </c>
      <c r="CK12" s="1">
        <v>8</v>
      </c>
      <c r="CL12" s="1"/>
      <c r="CM12" s="1"/>
      <c r="CN12" s="1"/>
      <c r="CO12" s="1"/>
      <c r="CP12" s="1"/>
      <c r="CQ12" s="1" t="s">
        <v>438</v>
      </c>
      <c r="CR12" s="1" t="s">
        <v>13</v>
      </c>
      <c r="CS12" s="1">
        <v>45245</v>
      </c>
      <c r="CT12" s="1">
        <v>470</v>
      </c>
      <c r="CU12" s="1"/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41853493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6">
        <v>3</v>
      </c>
      <c r="B16" s="6">
        <v>0</v>
      </c>
      <c r="C16" s="6" t="s">
        <v>14</v>
      </c>
      <c r="D16" s="6" t="s">
        <v>14</v>
      </c>
      <c r="E16" s="7">
        <f>ROUND((Source!F422)/1000,2)</f>
        <v>2957.61</v>
      </c>
      <c r="F16" s="7">
        <f>ROUND((Source!F423)/1000,2)</f>
        <v>237.37</v>
      </c>
      <c r="G16" s="7">
        <f>ROUND((Source!F414)/1000,2)</f>
        <v>0</v>
      </c>
      <c r="H16" s="7">
        <f>ROUND((Source!F424)/1000+(Source!F425)/1000,2)</f>
        <v>19.18</v>
      </c>
      <c r="I16" s="7">
        <f>E16+F16+G16+H16</f>
        <v>3214.16</v>
      </c>
      <c r="J16" s="7">
        <f>ROUND((Source!F420+Source!F419)/1000,2)</f>
        <v>97.11</v>
      </c>
      <c r="AI16" s="6">
        <v>0</v>
      </c>
      <c r="AJ16" s="6">
        <v>0</v>
      </c>
      <c r="AK16" s="6" t="s">
        <v>6</v>
      </c>
      <c r="AL16" s="6" t="s">
        <v>6</v>
      </c>
      <c r="AM16" s="6" t="s">
        <v>6</v>
      </c>
      <c r="AN16" s="6">
        <v>0</v>
      </c>
      <c r="AO16" s="6" t="s">
        <v>6</v>
      </c>
      <c r="AP16" s="6" t="s">
        <v>6</v>
      </c>
      <c r="AT16" s="7">
        <v>3075376.16</v>
      </c>
      <c r="AU16" s="7">
        <v>2972330.98</v>
      </c>
      <c r="AV16" s="7">
        <v>0</v>
      </c>
      <c r="AW16" s="7">
        <v>0</v>
      </c>
      <c r="AX16" s="7">
        <v>0</v>
      </c>
      <c r="AY16" s="7">
        <v>5934.6600000000008</v>
      </c>
      <c r="AZ16" s="7">
        <v>2123.54</v>
      </c>
      <c r="BA16" s="7">
        <v>94986.98</v>
      </c>
      <c r="BB16" s="7">
        <v>2957608.93</v>
      </c>
      <c r="BC16" s="7">
        <v>237366.03</v>
      </c>
      <c r="BD16" s="7">
        <v>19182.349999999999</v>
      </c>
      <c r="BE16" s="7">
        <v>0</v>
      </c>
      <c r="BF16" s="7">
        <v>291.12200000000001</v>
      </c>
      <c r="BG16" s="7">
        <v>6.0376000000000003</v>
      </c>
      <c r="BH16" s="7">
        <v>0</v>
      </c>
      <c r="BI16" s="7">
        <v>91244.9</v>
      </c>
      <c r="BJ16" s="7">
        <v>47536.25</v>
      </c>
      <c r="BK16" s="7">
        <v>3214157.31</v>
      </c>
    </row>
    <row r="18" spans="1:19">
      <c r="A18">
        <v>51</v>
      </c>
      <c r="E18" s="8">
        <f>SUMIF(A16:A17,3,E16:E17)</f>
        <v>2957.61</v>
      </c>
      <c r="F18" s="8">
        <f>SUMIF(A16:A17,3,F16:F17)</f>
        <v>237.37</v>
      </c>
      <c r="G18" s="8">
        <f>SUMIF(A16:A17,3,G16:G17)</f>
        <v>0</v>
      </c>
      <c r="H18" s="8">
        <f>SUMIF(A16:A17,3,H16:H17)</f>
        <v>19.18</v>
      </c>
      <c r="I18" s="8">
        <f>SUMIF(A16:A17,3,I16:I17)</f>
        <v>3214.16</v>
      </c>
      <c r="J18" s="8">
        <f>SUMIF(A16:A17,3,J16:J17)</f>
        <v>97.11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>
      <c r="A20" s="4">
        <v>50</v>
      </c>
      <c r="B20" s="4">
        <f>IF(SourceObSm!F20&lt;&gt;0,1,0)</f>
        <v>1</v>
      </c>
      <c r="C20" s="4">
        <v>0</v>
      </c>
      <c r="D20" s="4">
        <v>1</v>
      </c>
      <c r="E20" s="4">
        <v>201</v>
      </c>
      <c r="F20" s="4">
        <v>3075376.16</v>
      </c>
      <c r="G20" s="4" t="s">
        <v>47</v>
      </c>
      <c r="H20" s="4" t="s">
        <v>48</v>
      </c>
      <c r="I20" s="4"/>
      <c r="J20" s="4"/>
      <c r="K20" s="4">
        <v>201</v>
      </c>
      <c r="L20" s="4">
        <v>1</v>
      </c>
      <c r="M20" s="4">
        <v>1</v>
      </c>
      <c r="N20" s="4" t="s">
        <v>6</v>
      </c>
      <c r="O20" s="4">
        <v>2</v>
      </c>
      <c r="P20" s="4"/>
    </row>
    <row r="21" spans="1:19">
      <c r="A21" s="4">
        <v>50</v>
      </c>
      <c r="B21" s="4">
        <f>IF(SourceObSm!F21&lt;&gt;0,1,0)</f>
        <v>1</v>
      </c>
      <c r="C21" s="4">
        <v>0</v>
      </c>
      <c r="D21" s="4">
        <v>1</v>
      </c>
      <c r="E21" s="4">
        <v>202</v>
      </c>
      <c r="F21" s="4">
        <v>2972330.98</v>
      </c>
      <c r="G21" s="4" t="s">
        <v>49</v>
      </c>
      <c r="H21" s="4" t="s">
        <v>50</v>
      </c>
      <c r="I21" s="4"/>
      <c r="J21" s="4"/>
      <c r="K21" s="4">
        <v>202</v>
      </c>
      <c r="L21" s="4">
        <v>2</v>
      </c>
      <c r="M21" s="4">
        <v>1</v>
      </c>
      <c r="N21" s="4" t="s">
        <v>6</v>
      </c>
      <c r="O21" s="4">
        <v>2</v>
      </c>
      <c r="P21" s="4"/>
    </row>
    <row r="22" spans="1:19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51</v>
      </c>
      <c r="H22" s="4" t="s">
        <v>52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2</v>
      </c>
      <c r="P22" s="4"/>
    </row>
    <row r="23" spans="1:19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2972330.98</v>
      </c>
      <c r="G23" s="4" t="s">
        <v>53</v>
      </c>
      <c r="H23" s="4" t="s">
        <v>54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2</v>
      </c>
      <c r="P23" s="4"/>
    </row>
    <row r="24" spans="1:19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2972330.98</v>
      </c>
      <c r="G24" s="4" t="s">
        <v>55</v>
      </c>
      <c r="H24" s="4" t="s">
        <v>56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2</v>
      </c>
      <c r="P24" s="4"/>
    </row>
    <row r="25" spans="1:19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57</v>
      </c>
      <c r="H25" s="4" t="s">
        <v>58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2</v>
      </c>
      <c r="P25" s="4"/>
    </row>
    <row r="26" spans="1:19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2972330.98</v>
      </c>
      <c r="G26" s="4" t="s">
        <v>59</v>
      </c>
      <c r="H26" s="4" t="s">
        <v>60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2</v>
      </c>
      <c r="P26" s="4"/>
    </row>
    <row r="27" spans="1:19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61</v>
      </c>
      <c r="H27" s="4" t="s">
        <v>62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2</v>
      </c>
      <c r="P27" s="4"/>
    </row>
    <row r="28" spans="1:19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63</v>
      </c>
      <c r="H28" s="4" t="s">
        <v>64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2</v>
      </c>
      <c r="P28" s="4"/>
    </row>
    <row r="29" spans="1:19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65</v>
      </c>
      <c r="H29" s="4" t="s">
        <v>66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2</v>
      </c>
      <c r="P29" s="4"/>
    </row>
    <row r="30" spans="1:19">
      <c r="A30" s="4">
        <v>50</v>
      </c>
      <c r="B30" s="4">
        <f>IF(SourceObSm!F30&lt;&gt;0,1,0)</f>
        <v>1</v>
      </c>
      <c r="C30" s="4">
        <v>0</v>
      </c>
      <c r="D30" s="4">
        <v>1</v>
      </c>
      <c r="E30" s="4">
        <v>203</v>
      </c>
      <c r="F30" s="4">
        <v>5934.6600000000008</v>
      </c>
      <c r="G30" s="4" t="s">
        <v>67</v>
      </c>
      <c r="H30" s="4" t="s">
        <v>68</v>
      </c>
      <c r="I30" s="4"/>
      <c r="J30" s="4"/>
      <c r="K30" s="4">
        <v>203</v>
      </c>
      <c r="L30" s="4">
        <v>11</v>
      </c>
      <c r="M30" s="4">
        <v>1</v>
      </c>
      <c r="N30" s="4" t="s">
        <v>6</v>
      </c>
      <c r="O30" s="4">
        <v>2</v>
      </c>
      <c r="P30" s="4"/>
    </row>
    <row r="31" spans="1:19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69</v>
      </c>
      <c r="H31" s="4" t="s">
        <v>70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2</v>
      </c>
      <c r="P31" s="4"/>
    </row>
    <row r="32" spans="1:19">
      <c r="A32" s="4">
        <v>50</v>
      </c>
      <c r="B32" s="4">
        <f>IF(SourceObSm!F32&lt;&gt;0,1,0)</f>
        <v>1</v>
      </c>
      <c r="C32" s="4">
        <v>0</v>
      </c>
      <c r="D32" s="4">
        <v>1</v>
      </c>
      <c r="E32" s="4">
        <v>204</v>
      </c>
      <c r="F32" s="4">
        <v>2123.5400000000004</v>
      </c>
      <c r="G32" s="4" t="s">
        <v>71</v>
      </c>
      <c r="H32" s="4" t="s">
        <v>72</v>
      </c>
      <c r="I32" s="4"/>
      <c r="J32" s="4"/>
      <c r="K32" s="4">
        <v>204</v>
      </c>
      <c r="L32" s="4">
        <v>13</v>
      </c>
      <c r="M32" s="4">
        <v>1</v>
      </c>
      <c r="N32" s="4" t="s">
        <v>6</v>
      </c>
      <c r="O32" s="4">
        <v>2</v>
      </c>
      <c r="P32" s="4"/>
    </row>
    <row r="33" spans="1:16">
      <c r="A33" s="4">
        <v>50</v>
      </c>
      <c r="B33" s="4">
        <f>IF(SourceObSm!F33&lt;&gt;0,1,0)</f>
        <v>1</v>
      </c>
      <c r="C33" s="4">
        <v>0</v>
      </c>
      <c r="D33" s="4">
        <v>1</v>
      </c>
      <c r="E33" s="4">
        <v>205</v>
      </c>
      <c r="F33" s="4">
        <v>94986.98</v>
      </c>
      <c r="G33" s="4" t="s">
        <v>73</v>
      </c>
      <c r="H33" s="4" t="s">
        <v>74</v>
      </c>
      <c r="I33" s="4"/>
      <c r="J33" s="4"/>
      <c r="K33" s="4">
        <v>205</v>
      </c>
      <c r="L33" s="4">
        <v>14</v>
      </c>
      <c r="M33" s="4">
        <v>1</v>
      </c>
      <c r="N33" s="4" t="s">
        <v>6</v>
      </c>
      <c r="O33" s="4">
        <v>2</v>
      </c>
      <c r="P33" s="4"/>
    </row>
    <row r="34" spans="1:16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75</v>
      </c>
      <c r="H34" s="4" t="s">
        <v>76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2</v>
      </c>
      <c r="P34" s="4"/>
    </row>
    <row r="35" spans="1:16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2957608.93</v>
      </c>
      <c r="G35" s="4" t="s">
        <v>77</v>
      </c>
      <c r="H35" s="4" t="s">
        <v>78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2</v>
      </c>
      <c r="P35" s="4"/>
    </row>
    <row r="36" spans="1:16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237366.03</v>
      </c>
      <c r="G36" s="4" t="s">
        <v>79</v>
      </c>
      <c r="H36" s="4" t="s">
        <v>80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2</v>
      </c>
      <c r="P36" s="4"/>
    </row>
    <row r="37" spans="1:16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19182.349999999999</v>
      </c>
      <c r="G37" s="4" t="s">
        <v>81</v>
      </c>
      <c r="H37" s="4" t="s">
        <v>82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2</v>
      </c>
      <c r="P37" s="4"/>
    </row>
    <row r="38" spans="1:16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83</v>
      </c>
      <c r="H38" s="4" t="s">
        <v>84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2</v>
      </c>
      <c r="P38" s="4"/>
    </row>
    <row r="39" spans="1:16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85</v>
      </c>
      <c r="H39" s="4" t="s">
        <v>86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2</v>
      </c>
      <c r="P39" s="4"/>
    </row>
    <row r="40" spans="1:16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291.12200000000001</v>
      </c>
      <c r="G40" s="4" t="s">
        <v>87</v>
      </c>
      <c r="H40" s="4" t="s">
        <v>88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6.0376000000000003</v>
      </c>
      <c r="G41" s="4" t="s">
        <v>89</v>
      </c>
      <c r="H41" s="4" t="s">
        <v>90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91</v>
      </c>
      <c r="H42" s="4" t="s">
        <v>92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2</v>
      </c>
      <c r="P42" s="4"/>
    </row>
    <row r="43" spans="1:16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93</v>
      </c>
      <c r="H43" s="4" t="s">
        <v>94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2</v>
      </c>
      <c r="P43" s="4"/>
    </row>
    <row r="44" spans="1:16">
      <c r="A44" s="4">
        <v>50</v>
      </c>
      <c r="B44" s="4">
        <f>IF(SourceObSm!F44&lt;&gt;0,1,0)</f>
        <v>1</v>
      </c>
      <c r="C44" s="4">
        <v>0</v>
      </c>
      <c r="D44" s="4">
        <v>1</v>
      </c>
      <c r="E44" s="4">
        <v>210</v>
      </c>
      <c r="F44" s="4">
        <v>91244.9</v>
      </c>
      <c r="G44" s="4" t="s">
        <v>95</v>
      </c>
      <c r="H44" s="4" t="s">
        <v>96</v>
      </c>
      <c r="I44" s="4"/>
      <c r="J44" s="4"/>
      <c r="K44" s="4">
        <v>210</v>
      </c>
      <c r="L44" s="4">
        <v>25</v>
      </c>
      <c r="M44" s="4">
        <v>1</v>
      </c>
      <c r="N44" s="4" t="s">
        <v>6</v>
      </c>
      <c r="O44" s="4">
        <v>2</v>
      </c>
      <c r="P44" s="4"/>
    </row>
    <row r="45" spans="1:16">
      <c r="A45" s="4">
        <v>50</v>
      </c>
      <c r="B45" s="4">
        <f>IF(SourceObSm!F45&lt;&gt;0,1,0)</f>
        <v>1</v>
      </c>
      <c r="C45" s="4">
        <v>0</v>
      </c>
      <c r="D45" s="4">
        <v>1</v>
      </c>
      <c r="E45" s="4">
        <v>211</v>
      </c>
      <c r="F45" s="4">
        <v>47536.25</v>
      </c>
      <c r="G45" s="4" t="s">
        <v>97</v>
      </c>
      <c r="H45" s="4" t="s">
        <v>98</v>
      </c>
      <c r="I45" s="4"/>
      <c r="J45" s="4"/>
      <c r="K45" s="4">
        <v>211</v>
      </c>
      <c r="L45" s="4">
        <v>26</v>
      </c>
      <c r="M45" s="4">
        <v>1</v>
      </c>
      <c r="N45" s="4" t="s">
        <v>6</v>
      </c>
      <c r="O45" s="4">
        <v>2</v>
      </c>
      <c r="P45" s="4"/>
    </row>
    <row r="46" spans="1:16">
      <c r="A46" s="4">
        <v>50</v>
      </c>
      <c r="B46" s="4">
        <f>IF(SourceObSm!F46&lt;&gt;0,1,0)</f>
        <v>1</v>
      </c>
      <c r="C46" s="4">
        <v>0</v>
      </c>
      <c r="D46" s="4">
        <v>1</v>
      </c>
      <c r="E46" s="4">
        <v>224</v>
      </c>
      <c r="F46" s="4">
        <v>3214157.31</v>
      </c>
      <c r="G46" s="4" t="s">
        <v>99</v>
      </c>
      <c r="H46" s="4" t="s">
        <v>100</v>
      </c>
      <c r="I46" s="4"/>
      <c r="J46" s="4"/>
      <c r="K46" s="4">
        <v>224</v>
      </c>
      <c r="L46" s="4">
        <v>27</v>
      </c>
      <c r="M46" s="4">
        <v>1</v>
      </c>
      <c r="N46" s="4" t="s">
        <v>6</v>
      </c>
      <c r="O46" s="4">
        <v>2</v>
      </c>
      <c r="P46" s="4"/>
    </row>
    <row r="47" spans="1:16">
      <c r="A47" s="4">
        <v>50</v>
      </c>
      <c r="B47" s="4">
        <f>IF(SourceObSm!F47&lt;&gt;0,1,0)</f>
        <v>0</v>
      </c>
      <c r="C47" s="4">
        <v>0</v>
      </c>
      <c r="D47" s="4">
        <v>2</v>
      </c>
      <c r="E47" s="4">
        <v>0</v>
      </c>
      <c r="F47" s="4">
        <v>0</v>
      </c>
      <c r="G47" s="4" t="s">
        <v>101</v>
      </c>
      <c r="H47" s="4" t="s">
        <v>102</v>
      </c>
      <c r="I47" s="4"/>
      <c r="J47" s="4"/>
      <c r="K47" s="4">
        <v>212</v>
      </c>
      <c r="L47" s="4">
        <v>28</v>
      </c>
      <c r="M47" s="4">
        <v>1</v>
      </c>
      <c r="N47" s="4" t="s">
        <v>6</v>
      </c>
      <c r="O47" s="4">
        <v>-1</v>
      </c>
      <c r="P47" s="4"/>
    </row>
    <row r="48" spans="1:16">
      <c r="A48" s="4">
        <v>50</v>
      </c>
      <c r="B48" s="4">
        <f>IF(SourceObSm!F48&lt;&gt;0,1,0)</f>
        <v>0</v>
      </c>
      <c r="C48" s="4">
        <v>0</v>
      </c>
      <c r="D48" s="4">
        <v>2</v>
      </c>
      <c r="E48" s="4">
        <v>0</v>
      </c>
      <c r="F48" s="4">
        <v>0</v>
      </c>
      <c r="G48" s="4" t="s">
        <v>103</v>
      </c>
      <c r="H48" s="4" t="s">
        <v>104</v>
      </c>
      <c r="I48" s="4"/>
      <c r="J48" s="4"/>
      <c r="K48" s="4">
        <v>212</v>
      </c>
      <c r="L48" s="4">
        <v>29</v>
      </c>
      <c r="M48" s="4">
        <v>1</v>
      </c>
      <c r="N48" s="4" t="s">
        <v>6</v>
      </c>
      <c r="O48" s="4">
        <v>2</v>
      </c>
      <c r="P48" s="4"/>
    </row>
    <row r="49" spans="1:40">
      <c r="A49" s="4">
        <v>50</v>
      </c>
      <c r="B49" s="4">
        <f>IF(SourceObSm!F49&lt;&gt;0,1,0)</f>
        <v>0</v>
      </c>
      <c r="C49" s="4">
        <v>0</v>
      </c>
      <c r="D49" s="4">
        <v>2</v>
      </c>
      <c r="E49" s="4">
        <v>0</v>
      </c>
      <c r="F49" s="4">
        <v>0</v>
      </c>
      <c r="G49" s="4" t="s">
        <v>105</v>
      </c>
      <c r="H49" s="4" t="s">
        <v>106</v>
      </c>
      <c r="I49" s="4"/>
      <c r="J49" s="4"/>
      <c r="K49" s="4">
        <v>212</v>
      </c>
      <c r="L49" s="4">
        <v>30</v>
      </c>
      <c r="M49" s="4">
        <v>1</v>
      </c>
      <c r="N49" s="4" t="s">
        <v>6</v>
      </c>
      <c r="O49" s="4">
        <v>2</v>
      </c>
      <c r="P49" s="4"/>
    </row>
    <row r="50" spans="1:40">
      <c r="A50" s="4">
        <v>50</v>
      </c>
      <c r="B50" s="4">
        <f>IF(SourceObSm!F50&lt;&gt;0,1,0)</f>
        <v>0</v>
      </c>
      <c r="C50" s="4">
        <v>0</v>
      </c>
      <c r="D50" s="4">
        <v>2</v>
      </c>
      <c r="E50" s="4">
        <v>0</v>
      </c>
      <c r="F50" s="4">
        <v>0</v>
      </c>
      <c r="G50" s="4" t="s">
        <v>107</v>
      </c>
      <c r="H50" s="4" t="s">
        <v>108</v>
      </c>
      <c r="I50" s="4"/>
      <c r="J50" s="4"/>
      <c r="K50" s="4">
        <v>212</v>
      </c>
      <c r="L50" s="4">
        <v>31</v>
      </c>
      <c r="M50" s="4">
        <v>1</v>
      </c>
      <c r="N50" s="4" t="s">
        <v>6</v>
      </c>
      <c r="O50" s="4">
        <v>-1</v>
      </c>
      <c r="P50" s="4"/>
    </row>
    <row r="51" spans="1:40">
      <c r="A51" s="4">
        <v>50</v>
      </c>
      <c r="B51" s="4">
        <f>IF(SourceObSm!F51&lt;&gt;0,1,0)</f>
        <v>0</v>
      </c>
      <c r="C51" s="4">
        <v>0</v>
      </c>
      <c r="D51" s="4">
        <v>2</v>
      </c>
      <c r="E51" s="4">
        <v>0</v>
      </c>
      <c r="F51" s="4">
        <v>0</v>
      </c>
      <c r="G51" s="4" t="s">
        <v>109</v>
      </c>
      <c r="H51" s="4" t="s">
        <v>110</v>
      </c>
      <c r="I51" s="4"/>
      <c r="J51" s="4"/>
      <c r="K51" s="4">
        <v>212</v>
      </c>
      <c r="L51" s="4">
        <v>32</v>
      </c>
      <c r="M51" s="4">
        <v>1</v>
      </c>
      <c r="N51" s="4" t="s">
        <v>6</v>
      </c>
      <c r="O51" s="4">
        <v>2</v>
      </c>
      <c r="P51" s="4"/>
    </row>
    <row r="52" spans="1:40">
      <c r="A52" s="4">
        <v>50</v>
      </c>
      <c r="B52" s="4">
        <f>IF(SourceObSm!F52&lt;&gt;0,1,0)</f>
        <v>0</v>
      </c>
      <c r="C52" s="4">
        <v>0</v>
      </c>
      <c r="D52" s="4">
        <v>2</v>
      </c>
      <c r="E52" s="4">
        <v>0</v>
      </c>
      <c r="F52" s="4">
        <v>0</v>
      </c>
      <c r="G52" s="4" t="s">
        <v>111</v>
      </c>
      <c r="H52" s="4" t="s">
        <v>112</v>
      </c>
      <c r="I52" s="4"/>
      <c r="J52" s="4"/>
      <c r="K52" s="4">
        <v>212</v>
      </c>
      <c r="L52" s="4">
        <v>33</v>
      </c>
      <c r="M52" s="4">
        <v>1</v>
      </c>
      <c r="N52" s="4" t="s">
        <v>6</v>
      </c>
      <c r="O52" s="4">
        <v>2</v>
      </c>
      <c r="P52" s="4"/>
    </row>
    <row r="53" spans="1:40">
      <c r="A53" s="4">
        <v>50</v>
      </c>
      <c r="B53" s="4">
        <f>IF(SourceObSm!F53&lt;&gt;0,1,0)</f>
        <v>0</v>
      </c>
      <c r="C53" s="4">
        <v>0</v>
      </c>
      <c r="D53" s="4">
        <v>2</v>
      </c>
      <c r="E53" s="4">
        <v>0</v>
      </c>
      <c r="F53" s="4">
        <v>0</v>
      </c>
      <c r="G53" s="4" t="s">
        <v>113</v>
      </c>
      <c r="H53" s="4" t="s">
        <v>114</v>
      </c>
      <c r="I53" s="4"/>
      <c r="J53" s="4"/>
      <c r="K53" s="4">
        <v>212</v>
      </c>
      <c r="L53" s="4">
        <v>34</v>
      </c>
      <c r="M53" s="4">
        <v>1</v>
      </c>
      <c r="N53" s="4" t="s">
        <v>6</v>
      </c>
      <c r="O53" s="4">
        <v>-1</v>
      </c>
      <c r="P53" s="4"/>
    </row>
    <row r="54" spans="1:40">
      <c r="A54" s="4">
        <v>50</v>
      </c>
      <c r="B54" s="4">
        <f>IF(SourceObSm!F54&lt;&gt;0,1,0)</f>
        <v>0</v>
      </c>
      <c r="C54" s="4">
        <v>0</v>
      </c>
      <c r="D54" s="4">
        <v>2</v>
      </c>
      <c r="E54" s="4">
        <v>0</v>
      </c>
      <c r="F54" s="4">
        <v>0</v>
      </c>
      <c r="G54" s="4" t="s">
        <v>115</v>
      </c>
      <c r="H54" s="4" t="s">
        <v>116</v>
      </c>
      <c r="I54" s="4"/>
      <c r="J54" s="4"/>
      <c r="K54" s="4">
        <v>212</v>
      </c>
      <c r="L54" s="4">
        <v>35</v>
      </c>
      <c r="M54" s="4">
        <v>1</v>
      </c>
      <c r="N54" s="4" t="s">
        <v>6</v>
      </c>
      <c r="O54" s="4">
        <v>2</v>
      </c>
      <c r="P54" s="4"/>
    </row>
    <row r="55" spans="1:40">
      <c r="A55" s="4">
        <v>50</v>
      </c>
      <c r="B55" s="4">
        <f>IF(SourceObSm!F55&lt;&gt;0,1,0)</f>
        <v>0</v>
      </c>
      <c r="C55" s="4">
        <v>0</v>
      </c>
      <c r="D55" s="4">
        <v>2</v>
      </c>
      <c r="E55" s="4">
        <v>0</v>
      </c>
      <c r="F55" s="4">
        <v>0</v>
      </c>
      <c r="G55" s="4" t="s">
        <v>117</v>
      </c>
      <c r="H55" s="4" t="s">
        <v>118</v>
      </c>
      <c r="I55" s="4"/>
      <c r="J55" s="4"/>
      <c r="K55" s="4">
        <v>212</v>
      </c>
      <c r="L55" s="4">
        <v>36</v>
      </c>
      <c r="M55" s="4">
        <v>1</v>
      </c>
      <c r="N55" s="4" t="s">
        <v>6</v>
      </c>
      <c r="O55" s="4">
        <v>2</v>
      </c>
      <c r="P55" s="4"/>
    </row>
    <row r="56" spans="1:40">
      <c r="A56" s="4">
        <v>50</v>
      </c>
      <c r="B56" s="4">
        <v>0</v>
      </c>
      <c r="C56" s="4">
        <v>0</v>
      </c>
      <c r="D56" s="4">
        <v>2</v>
      </c>
      <c r="E56" s="4">
        <v>0</v>
      </c>
      <c r="F56" s="4">
        <v>3214157.31</v>
      </c>
      <c r="G56" s="4" t="s">
        <v>119</v>
      </c>
      <c r="H56" s="4" t="s">
        <v>120</v>
      </c>
      <c r="I56" s="4"/>
      <c r="J56" s="4"/>
      <c r="K56" s="4">
        <v>212</v>
      </c>
      <c r="L56" s="4">
        <v>37</v>
      </c>
      <c r="M56" s="4">
        <v>3</v>
      </c>
      <c r="N56" s="4" t="s">
        <v>6</v>
      </c>
      <c r="O56" s="4">
        <v>0</v>
      </c>
      <c r="P56" s="4"/>
    </row>
    <row r="57" spans="1:40">
      <c r="A57" s="4">
        <v>50</v>
      </c>
      <c r="B57" s="4">
        <f>IF(SourceObSm!F57&lt;&gt;0,1,0)</f>
        <v>1</v>
      </c>
      <c r="C57" s="4">
        <v>0</v>
      </c>
      <c r="D57" s="4">
        <v>2</v>
      </c>
      <c r="E57" s="4">
        <v>0</v>
      </c>
      <c r="F57" s="4">
        <v>642831.46</v>
      </c>
      <c r="G57" s="4" t="s">
        <v>121</v>
      </c>
      <c r="H57" s="4" t="s">
        <v>122</v>
      </c>
      <c r="I57" s="4"/>
      <c r="J57" s="4"/>
      <c r="K57" s="4">
        <v>212</v>
      </c>
      <c r="L57" s="4">
        <v>38</v>
      </c>
      <c r="M57" s="4">
        <v>1</v>
      </c>
      <c r="N57" s="4" t="s">
        <v>6</v>
      </c>
      <c r="O57" s="4">
        <v>2</v>
      </c>
      <c r="P57" s="4"/>
    </row>
    <row r="58" spans="1:40">
      <c r="A58" s="4">
        <v>50</v>
      </c>
      <c r="B58" s="4">
        <f>IF(SourceObSm!F58&lt;&gt;0,1,0)</f>
        <v>1</v>
      </c>
      <c r="C58" s="4">
        <v>0</v>
      </c>
      <c r="D58" s="4">
        <v>2</v>
      </c>
      <c r="E58" s="4">
        <v>213</v>
      </c>
      <c r="F58" s="4">
        <v>3856988.77</v>
      </c>
      <c r="G58" s="4" t="s">
        <v>123</v>
      </c>
      <c r="H58" s="4" t="s">
        <v>124</v>
      </c>
      <c r="I58" s="4"/>
      <c r="J58" s="4"/>
      <c r="K58" s="4">
        <v>212</v>
      </c>
      <c r="L58" s="4">
        <v>39</v>
      </c>
      <c r="M58" s="4">
        <v>1</v>
      </c>
      <c r="N58" s="4" t="s">
        <v>6</v>
      </c>
      <c r="O58" s="4">
        <v>2</v>
      </c>
      <c r="P58" s="4"/>
    </row>
    <row r="60" spans="1:40">
      <c r="A60">
        <v>-1</v>
      </c>
    </row>
    <row r="63" spans="1:40">
      <c r="A63" s="3">
        <v>75</v>
      </c>
      <c r="B63" s="3" t="s">
        <v>313</v>
      </c>
      <c r="C63" s="3">
        <v>2023</v>
      </c>
      <c r="D63" s="3">
        <v>4</v>
      </c>
      <c r="E63" s="3">
        <v>0</v>
      </c>
      <c r="F63" s="3">
        <v>1</v>
      </c>
      <c r="G63" s="3">
        <v>0</v>
      </c>
      <c r="H63" s="3">
        <v>1</v>
      </c>
      <c r="I63" s="3">
        <v>0</v>
      </c>
      <c r="J63" s="3">
        <v>3</v>
      </c>
      <c r="K63" s="3">
        <v>0</v>
      </c>
      <c r="L63" s="3">
        <v>0</v>
      </c>
      <c r="M63" s="3">
        <v>0</v>
      </c>
      <c r="N63" s="3">
        <v>41853493</v>
      </c>
      <c r="O63" s="3">
        <v>1</v>
      </c>
    </row>
    <row r="64" spans="1:40">
      <c r="A64" s="5">
        <v>2</v>
      </c>
      <c r="B64" s="5" t="s">
        <v>314</v>
      </c>
      <c r="C64" s="5" t="s">
        <v>315</v>
      </c>
      <c r="D64" s="5">
        <v>0</v>
      </c>
      <c r="E64" s="5">
        <v>0</v>
      </c>
      <c r="F64" s="5">
        <v>0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>
        <v>41853494</v>
      </c>
    </row>
    <row r="65" spans="1:50">
      <c r="A65" s="5">
        <v>1</v>
      </c>
      <c r="B65" s="5" t="s">
        <v>316</v>
      </c>
      <c r="C65" s="5" t="s">
        <v>317</v>
      </c>
      <c r="D65" s="5">
        <v>2023</v>
      </c>
      <c r="E65" s="5">
        <v>11</v>
      </c>
      <c r="F65" s="5">
        <v>1</v>
      </c>
      <c r="G65" s="5">
        <v>1</v>
      </c>
      <c r="H65" s="5">
        <v>0</v>
      </c>
      <c r="I65" s="5">
        <v>2</v>
      </c>
      <c r="J65" s="5">
        <v>1</v>
      </c>
      <c r="K65" s="5">
        <v>1</v>
      </c>
      <c r="L65" s="5">
        <v>1</v>
      </c>
      <c r="M65" s="5">
        <v>1</v>
      </c>
      <c r="N65" s="5">
        <v>1</v>
      </c>
      <c r="O65" s="5">
        <v>1</v>
      </c>
      <c r="P65" s="5">
        <v>1</v>
      </c>
      <c r="Q65" s="5">
        <v>1</v>
      </c>
      <c r="R65" s="5" t="s">
        <v>6</v>
      </c>
      <c r="S65" s="5" t="s">
        <v>6</v>
      </c>
      <c r="T65" s="5" t="s">
        <v>6</v>
      </c>
      <c r="U65" s="5" t="s">
        <v>6</v>
      </c>
      <c r="V65" s="5" t="s">
        <v>6</v>
      </c>
      <c r="W65" s="5" t="s">
        <v>6</v>
      </c>
      <c r="X65" s="5" t="s">
        <v>6</v>
      </c>
      <c r="Y65" s="5" t="s">
        <v>6</v>
      </c>
      <c r="Z65" s="5" t="s">
        <v>6</v>
      </c>
      <c r="AA65" s="5" t="s">
        <v>6</v>
      </c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>
        <v>41853495</v>
      </c>
      <c r="AO65" s="5"/>
      <c r="AP65" s="5"/>
      <c r="AQ65" s="5"/>
      <c r="AR65" s="5"/>
      <c r="AS65" s="5"/>
      <c r="AT65" s="5"/>
      <c r="AU65" s="5"/>
      <c r="AV65" s="5"/>
      <c r="AW65" s="5"/>
      <c r="AX65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O489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ROW(Source!A28)</f>
        <v>28</v>
      </c>
      <c r="B1">
        <v>41853493</v>
      </c>
      <c r="C1">
        <v>41853715</v>
      </c>
      <c r="D1">
        <v>40669982</v>
      </c>
      <c r="E1">
        <v>108</v>
      </c>
      <c r="F1">
        <v>1</v>
      </c>
      <c r="G1">
        <v>1</v>
      </c>
      <c r="H1">
        <v>1</v>
      </c>
      <c r="I1" t="s">
        <v>319</v>
      </c>
      <c r="J1" t="s">
        <v>6</v>
      </c>
      <c r="K1" t="s">
        <v>320</v>
      </c>
      <c r="L1">
        <v>1191</v>
      </c>
      <c r="N1">
        <v>1013</v>
      </c>
      <c r="O1" t="s">
        <v>321</v>
      </c>
      <c r="P1" t="s">
        <v>321</v>
      </c>
      <c r="Q1">
        <v>1</v>
      </c>
      <c r="W1">
        <v>0</v>
      </c>
      <c r="X1">
        <v>-1936699058</v>
      </c>
      <c r="Y1">
        <f t="shared" ref="Y1:Y11" si="0">AT1</f>
        <v>0.28000000000000003</v>
      </c>
      <c r="AA1">
        <v>0</v>
      </c>
      <c r="AB1">
        <v>0</v>
      </c>
      <c r="AC1">
        <v>0</v>
      </c>
      <c r="AD1">
        <v>312.16000000000003</v>
      </c>
      <c r="AE1">
        <v>0</v>
      </c>
      <c r="AF1">
        <v>0</v>
      </c>
      <c r="AG1">
        <v>0</v>
      </c>
      <c r="AH1">
        <v>312.16000000000003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6</v>
      </c>
      <c r="AT1">
        <v>0.28000000000000003</v>
      </c>
      <c r="AU1" t="s">
        <v>6</v>
      </c>
      <c r="AV1">
        <v>1</v>
      </c>
      <c r="AW1">
        <v>2</v>
      </c>
      <c r="AX1">
        <v>41853716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87.404800000000009</v>
      </c>
      <c r="BN1">
        <v>0.28000000000000003</v>
      </c>
      <c r="BO1">
        <v>0</v>
      </c>
      <c r="BP1">
        <v>1</v>
      </c>
      <c r="BQ1">
        <v>0</v>
      </c>
      <c r="BR1">
        <v>0</v>
      </c>
      <c r="BS1">
        <v>0</v>
      </c>
      <c r="BT1">
        <v>87.404800000000009</v>
      </c>
      <c r="BU1">
        <v>0.28000000000000003</v>
      </c>
      <c r="BV1">
        <v>0</v>
      </c>
      <c r="BW1">
        <v>1</v>
      </c>
      <c r="CU1">
        <f>ROUND(AT1*Source!I28*AH1*AL1,2)</f>
        <v>16344.7</v>
      </c>
      <c r="CV1">
        <f>ROUND(Y1*Source!I28,7)</f>
        <v>52.36</v>
      </c>
      <c r="CW1">
        <v>0</v>
      </c>
      <c r="CX1">
        <f>ROUND(Y1*Source!I28,7)</f>
        <v>52.36</v>
      </c>
      <c r="CY1">
        <f>AD1</f>
        <v>312.16000000000003</v>
      </c>
      <c r="CZ1">
        <f>AH1</f>
        <v>312.16000000000003</v>
      </c>
      <c r="DA1">
        <f>AL1</f>
        <v>1</v>
      </c>
      <c r="DB1">
        <f t="shared" ref="DB1:DB11" si="1">ROUND(ROUND(AT1*CZ1,2),2)</f>
        <v>87.4</v>
      </c>
      <c r="DC1">
        <f t="shared" ref="DC1:DC11" si="2">ROUND(ROUND(AT1*AG1,2),2)</f>
        <v>0</v>
      </c>
      <c r="DD1" t="s">
        <v>6</v>
      </c>
      <c r="DE1" t="s">
        <v>6</v>
      </c>
      <c r="DF1">
        <f>ROUND(ROUND(AE1,2)*CX1,2)</f>
        <v>0</v>
      </c>
      <c r="DG1">
        <f t="shared" ref="DG1:DG32" si="3">ROUND(ROUND(AF1,2)*CX1,2)</f>
        <v>0</v>
      </c>
      <c r="DH1">
        <f t="shared" ref="DH1:DH32" si="4">ROUND(ROUND(AG1,2)*CX1,2)</f>
        <v>0</v>
      </c>
      <c r="DI1">
        <f t="shared" ref="DI1:DI32" si="5">ROUND(ROUND(AH1,2)*CX1,2)</f>
        <v>16344.7</v>
      </c>
      <c r="DJ1">
        <f>DI1</f>
        <v>16344.7</v>
      </c>
      <c r="DK1">
        <v>1</v>
      </c>
      <c r="DL1" t="s">
        <v>6</v>
      </c>
      <c r="DM1">
        <v>0</v>
      </c>
      <c r="DN1" t="s">
        <v>6</v>
      </c>
      <c r="DO1">
        <v>0</v>
      </c>
    </row>
    <row r="2" spans="1:119">
      <c r="A2">
        <f>ROW(Source!A28)</f>
        <v>28</v>
      </c>
      <c r="B2">
        <v>41853493</v>
      </c>
      <c r="C2">
        <v>41853715</v>
      </c>
      <c r="D2">
        <v>40670210</v>
      </c>
      <c r="E2">
        <v>108</v>
      </c>
      <c r="F2">
        <v>1</v>
      </c>
      <c r="G2">
        <v>1</v>
      </c>
      <c r="H2">
        <v>1</v>
      </c>
      <c r="I2" t="s">
        <v>322</v>
      </c>
      <c r="J2" t="s">
        <v>6</v>
      </c>
      <c r="K2" t="s">
        <v>323</v>
      </c>
      <c r="L2">
        <v>1191</v>
      </c>
      <c r="N2">
        <v>1013</v>
      </c>
      <c r="O2" t="s">
        <v>321</v>
      </c>
      <c r="P2" t="s">
        <v>321</v>
      </c>
      <c r="Q2">
        <v>1</v>
      </c>
      <c r="W2">
        <v>0</v>
      </c>
      <c r="X2">
        <v>-1417349443</v>
      </c>
      <c r="Y2">
        <f t="shared" si="0"/>
        <v>0.02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6</v>
      </c>
      <c r="AT2">
        <v>0.02</v>
      </c>
      <c r="AU2" t="s">
        <v>6</v>
      </c>
      <c r="AV2">
        <v>2</v>
      </c>
      <c r="AW2">
        <v>2</v>
      </c>
      <c r="AX2">
        <v>41853717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ROUND(Y2*Source!I28,7)</f>
        <v>3.74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6</v>
      </c>
      <c r="DE2" t="s">
        <v>6</v>
      </c>
      <c r="DF2">
        <f>ROUND(ROUND(AE2,2)*CX2,2)</f>
        <v>0</v>
      </c>
      <c r="DG2">
        <f t="shared" si="3"/>
        <v>0</v>
      </c>
      <c r="DH2">
        <f t="shared" si="4"/>
        <v>0</v>
      </c>
      <c r="DI2">
        <f t="shared" si="5"/>
        <v>0</v>
      </c>
      <c r="DJ2">
        <f>DI2</f>
        <v>0</v>
      </c>
      <c r="DK2">
        <v>0</v>
      </c>
      <c r="DL2" t="s">
        <v>6</v>
      </c>
      <c r="DM2">
        <v>0</v>
      </c>
      <c r="DN2" t="s">
        <v>6</v>
      </c>
      <c r="DO2">
        <v>0</v>
      </c>
    </row>
    <row r="3" spans="1:119">
      <c r="A3">
        <f>ROW(Source!A28)</f>
        <v>28</v>
      </c>
      <c r="B3">
        <v>41853493</v>
      </c>
      <c r="C3">
        <v>41853715</v>
      </c>
      <c r="D3">
        <v>40987978</v>
      </c>
      <c r="E3">
        <v>1</v>
      </c>
      <c r="F3">
        <v>1</v>
      </c>
      <c r="G3">
        <v>1</v>
      </c>
      <c r="H3">
        <v>2</v>
      </c>
      <c r="I3" t="s">
        <v>324</v>
      </c>
      <c r="J3" t="s">
        <v>325</v>
      </c>
      <c r="K3" t="s">
        <v>326</v>
      </c>
      <c r="L3">
        <v>1368</v>
      </c>
      <c r="N3">
        <v>1011</v>
      </c>
      <c r="O3" t="s">
        <v>327</v>
      </c>
      <c r="P3" t="s">
        <v>327</v>
      </c>
      <c r="Q3">
        <v>1</v>
      </c>
      <c r="W3">
        <v>0</v>
      </c>
      <c r="X3">
        <v>-848025172</v>
      </c>
      <c r="Y3">
        <f t="shared" si="0"/>
        <v>0.01</v>
      </c>
      <c r="AA3">
        <v>0</v>
      </c>
      <c r="AB3">
        <v>1442.85</v>
      </c>
      <c r="AC3">
        <v>407.16</v>
      </c>
      <c r="AD3">
        <v>0</v>
      </c>
      <c r="AE3">
        <v>0</v>
      </c>
      <c r="AF3">
        <v>1442.85</v>
      </c>
      <c r="AG3">
        <v>407.16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6</v>
      </c>
      <c r="AT3">
        <v>0.01</v>
      </c>
      <c r="AU3" t="s">
        <v>6</v>
      </c>
      <c r="AV3">
        <v>1</v>
      </c>
      <c r="AW3">
        <v>2</v>
      </c>
      <c r="AX3">
        <v>41853718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14.4285</v>
      </c>
      <c r="BL3">
        <v>4.0716000000000001</v>
      </c>
      <c r="BM3">
        <v>0</v>
      </c>
      <c r="BN3">
        <v>0</v>
      </c>
      <c r="BO3">
        <v>0.01</v>
      </c>
      <c r="BP3">
        <v>1</v>
      </c>
      <c r="BQ3">
        <v>0</v>
      </c>
      <c r="BR3">
        <v>14.4285</v>
      </c>
      <c r="BS3">
        <v>4.0716000000000001</v>
      </c>
      <c r="BT3">
        <v>0</v>
      </c>
      <c r="BU3">
        <v>0</v>
      </c>
      <c r="BV3">
        <v>0.01</v>
      </c>
      <c r="BW3">
        <v>1</v>
      </c>
      <c r="CV3">
        <v>0</v>
      </c>
      <c r="CW3">
        <f>ROUND(Y3*Source!I28,7)</f>
        <v>1.87</v>
      </c>
      <c r="CX3">
        <f>ROUND(Y3*Source!I28,7)</f>
        <v>1.87</v>
      </c>
      <c r="CY3">
        <f>AB3</f>
        <v>1442.85</v>
      </c>
      <c r="CZ3">
        <f>AF3</f>
        <v>1442.85</v>
      </c>
      <c r="DA3">
        <f>AJ3</f>
        <v>1</v>
      </c>
      <c r="DB3">
        <f t="shared" si="1"/>
        <v>14.43</v>
      </c>
      <c r="DC3">
        <f t="shared" si="2"/>
        <v>4.07</v>
      </c>
      <c r="DD3" t="s">
        <v>6</v>
      </c>
      <c r="DE3" t="s">
        <v>6</v>
      </c>
      <c r="DF3">
        <f>ROUND(ROUND(AE3,2)*CX3,2)</f>
        <v>0</v>
      </c>
      <c r="DG3">
        <f t="shared" si="3"/>
        <v>2698.13</v>
      </c>
      <c r="DH3">
        <f t="shared" si="4"/>
        <v>761.39</v>
      </c>
      <c r="DI3">
        <f t="shared" si="5"/>
        <v>0</v>
      </c>
      <c r="DJ3">
        <f>DG3+DH3</f>
        <v>3459.52</v>
      </c>
      <c r="DK3">
        <v>1</v>
      </c>
      <c r="DL3" t="s">
        <v>328</v>
      </c>
      <c r="DM3">
        <v>6</v>
      </c>
      <c r="DN3" t="s">
        <v>321</v>
      </c>
      <c r="DO3">
        <v>1</v>
      </c>
    </row>
    <row r="4" spans="1:119">
      <c r="A4">
        <f>ROW(Source!A28)</f>
        <v>28</v>
      </c>
      <c r="B4">
        <v>41853493</v>
      </c>
      <c r="C4">
        <v>41853715</v>
      </c>
      <c r="D4">
        <v>40989217</v>
      </c>
      <c r="E4">
        <v>1</v>
      </c>
      <c r="F4">
        <v>1</v>
      </c>
      <c r="G4">
        <v>1</v>
      </c>
      <c r="H4">
        <v>2</v>
      </c>
      <c r="I4" t="s">
        <v>329</v>
      </c>
      <c r="J4" t="s">
        <v>330</v>
      </c>
      <c r="K4" t="s">
        <v>331</v>
      </c>
      <c r="L4">
        <v>1368</v>
      </c>
      <c r="N4">
        <v>1011</v>
      </c>
      <c r="O4" t="s">
        <v>327</v>
      </c>
      <c r="P4" t="s">
        <v>327</v>
      </c>
      <c r="Q4">
        <v>1</v>
      </c>
      <c r="W4">
        <v>0</v>
      </c>
      <c r="X4">
        <v>1230426758</v>
      </c>
      <c r="Y4">
        <f t="shared" si="0"/>
        <v>0.01</v>
      </c>
      <c r="AA4">
        <v>0</v>
      </c>
      <c r="AB4">
        <v>557.94000000000005</v>
      </c>
      <c r="AC4">
        <v>303.11</v>
      </c>
      <c r="AD4">
        <v>0</v>
      </c>
      <c r="AE4">
        <v>0</v>
      </c>
      <c r="AF4">
        <v>557.94000000000005</v>
      </c>
      <c r="AG4">
        <v>303.11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6</v>
      </c>
      <c r="AT4">
        <v>0.01</v>
      </c>
      <c r="AU4" t="s">
        <v>6</v>
      </c>
      <c r="AV4">
        <v>1</v>
      </c>
      <c r="AW4">
        <v>2</v>
      </c>
      <c r="AX4">
        <v>41853719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5.5794000000000006</v>
      </c>
      <c r="BL4">
        <v>3.0311000000000003</v>
      </c>
      <c r="BM4">
        <v>0</v>
      </c>
      <c r="BN4">
        <v>0</v>
      </c>
      <c r="BO4">
        <v>0.01</v>
      </c>
      <c r="BP4">
        <v>1</v>
      </c>
      <c r="BQ4">
        <v>0</v>
      </c>
      <c r="BR4">
        <v>5.5794000000000006</v>
      </c>
      <c r="BS4">
        <v>3.0311000000000003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ROUND(Y4*Source!I28,7)</f>
        <v>1.87</v>
      </c>
      <c r="CX4">
        <f>ROUND(Y4*Source!I28,7)</f>
        <v>1.87</v>
      </c>
      <c r="CY4">
        <f>AB4</f>
        <v>557.94000000000005</v>
      </c>
      <c r="CZ4">
        <f>AF4</f>
        <v>557.94000000000005</v>
      </c>
      <c r="DA4">
        <f>AJ4</f>
        <v>1</v>
      </c>
      <c r="DB4">
        <f t="shared" si="1"/>
        <v>5.58</v>
      </c>
      <c r="DC4">
        <f t="shared" si="2"/>
        <v>3.03</v>
      </c>
      <c r="DD4" t="s">
        <v>6</v>
      </c>
      <c r="DE4" t="s">
        <v>6</v>
      </c>
      <c r="DF4">
        <f>ROUND(ROUND(AE4,2)*CX4,2)</f>
        <v>0</v>
      </c>
      <c r="DG4">
        <f t="shared" si="3"/>
        <v>1043.3499999999999</v>
      </c>
      <c r="DH4">
        <f t="shared" si="4"/>
        <v>566.82000000000005</v>
      </c>
      <c r="DI4">
        <f t="shared" si="5"/>
        <v>0</v>
      </c>
      <c r="DJ4">
        <f>DG4+DH4</f>
        <v>1610.17</v>
      </c>
      <c r="DK4">
        <v>1</v>
      </c>
      <c r="DL4" t="s">
        <v>332</v>
      </c>
      <c r="DM4">
        <v>4</v>
      </c>
      <c r="DN4" t="s">
        <v>321</v>
      </c>
      <c r="DO4">
        <v>1</v>
      </c>
    </row>
    <row r="5" spans="1:119">
      <c r="A5">
        <f>ROW(Source!A28)</f>
        <v>28</v>
      </c>
      <c r="B5">
        <v>41853493</v>
      </c>
      <c r="C5">
        <v>41853715</v>
      </c>
      <c r="D5">
        <v>40996271</v>
      </c>
      <c r="E5">
        <v>1</v>
      </c>
      <c r="F5">
        <v>1</v>
      </c>
      <c r="G5">
        <v>1</v>
      </c>
      <c r="H5">
        <v>3</v>
      </c>
      <c r="I5" t="s">
        <v>333</v>
      </c>
      <c r="J5" t="s">
        <v>334</v>
      </c>
      <c r="K5" t="s">
        <v>335</v>
      </c>
      <c r="L5">
        <v>1348</v>
      </c>
      <c r="N5">
        <v>1009</v>
      </c>
      <c r="O5" t="s">
        <v>37</v>
      </c>
      <c r="P5" t="s">
        <v>37</v>
      </c>
      <c r="Q5">
        <v>1000</v>
      </c>
      <c r="W5">
        <v>0</v>
      </c>
      <c r="X5">
        <v>1683435163</v>
      </c>
      <c r="Y5">
        <f t="shared" si="0"/>
        <v>3.0000000000000001E-5</v>
      </c>
      <c r="AA5">
        <v>147790.96</v>
      </c>
      <c r="AB5">
        <v>0</v>
      </c>
      <c r="AC5">
        <v>0</v>
      </c>
      <c r="AD5">
        <v>0</v>
      </c>
      <c r="AE5">
        <v>127406</v>
      </c>
      <c r="AF5">
        <v>0</v>
      </c>
      <c r="AG5">
        <v>0</v>
      </c>
      <c r="AH5">
        <v>0</v>
      </c>
      <c r="AI5">
        <v>1.1599999999999999</v>
      </c>
      <c r="AJ5">
        <v>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6</v>
      </c>
      <c r="AT5">
        <v>3.0000000000000001E-5</v>
      </c>
      <c r="AU5" t="s">
        <v>6</v>
      </c>
      <c r="AV5">
        <v>0</v>
      </c>
      <c r="AW5">
        <v>2</v>
      </c>
      <c r="AX5">
        <v>41853720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3.8221799999999999</v>
      </c>
      <c r="BK5">
        <v>0</v>
      </c>
      <c r="BL5">
        <v>0</v>
      </c>
      <c r="BM5">
        <v>0</v>
      </c>
      <c r="BN5">
        <v>0</v>
      </c>
      <c r="BO5">
        <v>0</v>
      </c>
      <c r="BP5">
        <v>1</v>
      </c>
      <c r="BQ5">
        <v>3.8221799999999999</v>
      </c>
      <c r="BR5">
        <v>0</v>
      </c>
      <c r="BS5">
        <v>0</v>
      </c>
      <c r="BT5">
        <v>0</v>
      </c>
      <c r="BU5">
        <v>0</v>
      </c>
      <c r="BV5">
        <v>0</v>
      </c>
      <c r="BW5">
        <v>1</v>
      </c>
      <c r="CV5">
        <v>0</v>
      </c>
      <c r="CW5">
        <v>0</v>
      </c>
      <c r="CX5">
        <f>ROUND(Y5*Source!I28,7)</f>
        <v>5.6100000000000004E-3</v>
      </c>
      <c r="CY5">
        <f>AA5</f>
        <v>147790.96</v>
      </c>
      <c r="CZ5">
        <f>AE5</f>
        <v>127406</v>
      </c>
      <c r="DA5">
        <f>AI5</f>
        <v>1.1599999999999999</v>
      </c>
      <c r="DB5">
        <f t="shared" si="1"/>
        <v>3.82</v>
      </c>
      <c r="DC5">
        <f t="shared" si="2"/>
        <v>0</v>
      </c>
      <c r="DD5" t="s">
        <v>6</v>
      </c>
      <c r="DE5" t="s">
        <v>6</v>
      </c>
      <c r="DF5">
        <f>ROUND(ROUND(AE5*AI5,2)*CX5,2)</f>
        <v>829.11</v>
      </c>
      <c r="DG5">
        <f t="shared" si="3"/>
        <v>0</v>
      </c>
      <c r="DH5">
        <f t="shared" si="4"/>
        <v>0</v>
      </c>
      <c r="DI5">
        <f t="shared" si="5"/>
        <v>0</v>
      </c>
      <c r="DJ5">
        <f>DF5</f>
        <v>829.11</v>
      </c>
      <c r="DK5">
        <v>0</v>
      </c>
      <c r="DL5" t="s">
        <v>6</v>
      </c>
      <c r="DM5">
        <v>0</v>
      </c>
      <c r="DN5" t="s">
        <v>6</v>
      </c>
      <c r="DO5">
        <v>0</v>
      </c>
    </row>
    <row r="6" spans="1:119">
      <c r="A6">
        <f>ROW(Source!A28)</f>
        <v>28</v>
      </c>
      <c r="B6">
        <v>41853493</v>
      </c>
      <c r="C6">
        <v>41853715</v>
      </c>
      <c r="D6">
        <v>40676108</v>
      </c>
      <c r="E6">
        <v>108</v>
      </c>
      <c r="F6">
        <v>1</v>
      </c>
      <c r="G6">
        <v>1</v>
      </c>
      <c r="H6">
        <v>3</v>
      </c>
      <c r="I6" t="s">
        <v>28</v>
      </c>
      <c r="J6" t="s">
        <v>6</v>
      </c>
      <c r="K6" t="s">
        <v>29</v>
      </c>
      <c r="L6">
        <v>3277935</v>
      </c>
      <c r="N6">
        <v>1013</v>
      </c>
      <c r="O6" t="s">
        <v>30</v>
      </c>
      <c r="P6" t="s">
        <v>30</v>
      </c>
      <c r="Q6">
        <v>1</v>
      </c>
      <c r="W6">
        <v>0</v>
      </c>
      <c r="X6">
        <v>274903907</v>
      </c>
      <c r="Y6">
        <f t="shared" si="0"/>
        <v>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 t="s">
        <v>6</v>
      </c>
      <c r="AT6">
        <v>2</v>
      </c>
      <c r="AU6" t="s">
        <v>6</v>
      </c>
      <c r="AV6">
        <v>0</v>
      </c>
      <c r="AW6">
        <v>2</v>
      </c>
      <c r="AX6">
        <v>41853721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ROUND(Y6*Source!I28,7)</f>
        <v>374</v>
      </c>
      <c r="CY6">
        <f>AA6</f>
        <v>0</v>
      </c>
      <c r="CZ6">
        <f>AE6</f>
        <v>0</v>
      </c>
      <c r="DA6">
        <f>AI6</f>
        <v>1</v>
      </c>
      <c r="DB6">
        <f t="shared" si="1"/>
        <v>0</v>
      </c>
      <c r="DC6">
        <f t="shared" si="2"/>
        <v>0</v>
      </c>
      <c r="DD6" t="s">
        <v>6</v>
      </c>
      <c r="DE6" t="s">
        <v>6</v>
      </c>
      <c r="DF6">
        <f t="shared" ref="DF6:DF11" si="6">ROUND(ROUND(AE6,2)*CX6,2)</f>
        <v>0</v>
      </c>
      <c r="DG6">
        <f t="shared" si="3"/>
        <v>0</v>
      </c>
      <c r="DH6">
        <f t="shared" si="4"/>
        <v>0</v>
      </c>
      <c r="DI6">
        <f t="shared" si="5"/>
        <v>0</v>
      </c>
      <c r="DJ6">
        <f>DF6</f>
        <v>0</v>
      </c>
      <c r="DK6">
        <v>0</v>
      </c>
      <c r="DL6" t="s">
        <v>6</v>
      </c>
      <c r="DM6">
        <v>0</v>
      </c>
      <c r="DN6" t="s">
        <v>6</v>
      </c>
      <c r="DO6">
        <v>0</v>
      </c>
    </row>
    <row r="7" spans="1:119">
      <c r="A7">
        <f>ROW(Source!A30)</f>
        <v>30</v>
      </c>
      <c r="B7">
        <v>41853493</v>
      </c>
      <c r="C7">
        <v>41853723</v>
      </c>
      <c r="D7">
        <v>40669976</v>
      </c>
      <c r="E7">
        <v>108</v>
      </c>
      <c r="F7">
        <v>1</v>
      </c>
      <c r="G7">
        <v>1</v>
      </c>
      <c r="H7">
        <v>1</v>
      </c>
      <c r="I7" t="s">
        <v>336</v>
      </c>
      <c r="J7" t="s">
        <v>6</v>
      </c>
      <c r="K7" t="s">
        <v>337</v>
      </c>
      <c r="L7">
        <v>1191</v>
      </c>
      <c r="N7">
        <v>1013</v>
      </c>
      <c r="O7" t="s">
        <v>321</v>
      </c>
      <c r="P7" t="s">
        <v>321</v>
      </c>
      <c r="Q7">
        <v>1</v>
      </c>
      <c r="W7">
        <v>0</v>
      </c>
      <c r="X7">
        <v>-1111239348</v>
      </c>
      <c r="Y7">
        <f t="shared" si="0"/>
        <v>53.6</v>
      </c>
      <c r="AA7">
        <v>0</v>
      </c>
      <c r="AB7">
        <v>0</v>
      </c>
      <c r="AC7">
        <v>0</v>
      </c>
      <c r="AD7">
        <v>303.11</v>
      </c>
      <c r="AE7">
        <v>0</v>
      </c>
      <c r="AF7">
        <v>0</v>
      </c>
      <c r="AG7">
        <v>0</v>
      </c>
      <c r="AH7">
        <v>303.11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6</v>
      </c>
      <c r="AT7">
        <v>53.6</v>
      </c>
      <c r="AU7" t="s">
        <v>6</v>
      </c>
      <c r="AV7">
        <v>1</v>
      </c>
      <c r="AW7">
        <v>2</v>
      </c>
      <c r="AX7">
        <v>41853724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16246.696000000002</v>
      </c>
      <c r="BN7">
        <v>53.6</v>
      </c>
      <c r="BO7">
        <v>0</v>
      </c>
      <c r="BP7">
        <v>1</v>
      </c>
      <c r="BQ7">
        <v>0</v>
      </c>
      <c r="BR7">
        <v>0</v>
      </c>
      <c r="BS7">
        <v>0</v>
      </c>
      <c r="BT7">
        <v>16246.696000000002</v>
      </c>
      <c r="BU7">
        <v>53.6</v>
      </c>
      <c r="BV7">
        <v>0</v>
      </c>
      <c r="BW7">
        <v>1</v>
      </c>
      <c r="CU7">
        <f>ROUND(AT7*Source!I30*AH7*AL7,2)</f>
        <v>454.91</v>
      </c>
      <c r="CV7">
        <f>ROUND(Y7*Source!I30,7)</f>
        <v>1.5007999999999999</v>
      </c>
      <c r="CW7">
        <v>0</v>
      </c>
      <c r="CX7">
        <f>ROUND(Y7*Source!I30,7)</f>
        <v>1.5007999999999999</v>
      </c>
      <c r="CY7">
        <f>AD7</f>
        <v>303.11</v>
      </c>
      <c r="CZ7">
        <f>AH7</f>
        <v>303.11</v>
      </c>
      <c r="DA7">
        <f>AL7</f>
        <v>1</v>
      </c>
      <c r="DB7">
        <f t="shared" si="1"/>
        <v>16246.7</v>
      </c>
      <c r="DC7">
        <f t="shared" si="2"/>
        <v>0</v>
      </c>
      <c r="DD7" t="s">
        <v>6</v>
      </c>
      <c r="DE7" t="s">
        <v>6</v>
      </c>
      <c r="DF7">
        <f t="shared" si="6"/>
        <v>0</v>
      </c>
      <c r="DG7">
        <f t="shared" si="3"/>
        <v>0</v>
      </c>
      <c r="DH7">
        <f t="shared" si="4"/>
        <v>0</v>
      </c>
      <c r="DI7">
        <f t="shared" si="5"/>
        <v>454.91</v>
      </c>
      <c r="DJ7">
        <f>DI7</f>
        <v>454.91</v>
      </c>
      <c r="DK7">
        <v>1</v>
      </c>
      <c r="DL7" t="s">
        <v>6</v>
      </c>
      <c r="DM7">
        <v>0</v>
      </c>
      <c r="DN7" t="s">
        <v>6</v>
      </c>
      <c r="DO7">
        <v>0</v>
      </c>
    </row>
    <row r="8" spans="1:119">
      <c r="A8">
        <f>ROW(Source!A30)</f>
        <v>30</v>
      </c>
      <c r="B8">
        <v>41853493</v>
      </c>
      <c r="C8">
        <v>41853723</v>
      </c>
      <c r="D8">
        <v>40670210</v>
      </c>
      <c r="E8">
        <v>108</v>
      </c>
      <c r="F8">
        <v>1</v>
      </c>
      <c r="G8">
        <v>1</v>
      </c>
      <c r="H8">
        <v>1</v>
      </c>
      <c r="I8" t="s">
        <v>322</v>
      </c>
      <c r="J8" t="s">
        <v>6</v>
      </c>
      <c r="K8" t="s">
        <v>323</v>
      </c>
      <c r="L8">
        <v>1191</v>
      </c>
      <c r="N8">
        <v>1013</v>
      </c>
      <c r="O8" t="s">
        <v>321</v>
      </c>
      <c r="P8" t="s">
        <v>321</v>
      </c>
      <c r="Q8">
        <v>1</v>
      </c>
      <c r="W8">
        <v>0</v>
      </c>
      <c r="X8">
        <v>-1417349443</v>
      </c>
      <c r="Y8">
        <f t="shared" si="0"/>
        <v>3.2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6</v>
      </c>
      <c r="AT8">
        <v>3.2</v>
      </c>
      <c r="AU8" t="s">
        <v>6</v>
      </c>
      <c r="AV8">
        <v>2</v>
      </c>
      <c r="AW8">
        <v>2</v>
      </c>
      <c r="AX8">
        <v>41853725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ROUND(Y8*Source!I30,7)</f>
        <v>8.9599999999999999E-2</v>
      </c>
      <c r="CY8">
        <f>AD8</f>
        <v>0</v>
      </c>
      <c r="CZ8">
        <f>AH8</f>
        <v>0</v>
      </c>
      <c r="DA8">
        <f>AL8</f>
        <v>1</v>
      </c>
      <c r="DB8">
        <f t="shared" si="1"/>
        <v>0</v>
      </c>
      <c r="DC8">
        <f t="shared" si="2"/>
        <v>0</v>
      </c>
      <c r="DD8" t="s">
        <v>6</v>
      </c>
      <c r="DE8" t="s">
        <v>6</v>
      </c>
      <c r="DF8">
        <f t="shared" si="6"/>
        <v>0</v>
      </c>
      <c r="DG8">
        <f t="shared" si="3"/>
        <v>0</v>
      </c>
      <c r="DH8">
        <f t="shared" si="4"/>
        <v>0</v>
      </c>
      <c r="DI8">
        <f t="shared" si="5"/>
        <v>0</v>
      </c>
      <c r="DJ8">
        <f>DI8</f>
        <v>0</v>
      </c>
      <c r="DK8">
        <v>0</v>
      </c>
      <c r="DL8" t="s">
        <v>6</v>
      </c>
      <c r="DM8">
        <v>0</v>
      </c>
      <c r="DN8" t="s">
        <v>6</v>
      </c>
      <c r="DO8">
        <v>0</v>
      </c>
    </row>
    <row r="9" spans="1:119">
      <c r="A9">
        <f>ROW(Source!A30)</f>
        <v>30</v>
      </c>
      <c r="B9">
        <v>41853493</v>
      </c>
      <c r="C9">
        <v>41853723</v>
      </c>
      <c r="D9">
        <v>40987978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327</v>
      </c>
      <c r="P9" t="s">
        <v>327</v>
      </c>
      <c r="Q9">
        <v>1</v>
      </c>
      <c r="W9">
        <v>0</v>
      </c>
      <c r="X9">
        <v>-848025172</v>
      </c>
      <c r="Y9">
        <f t="shared" si="0"/>
        <v>1.6</v>
      </c>
      <c r="AA9">
        <v>0</v>
      </c>
      <c r="AB9">
        <v>1442.85</v>
      </c>
      <c r="AC9">
        <v>407.16</v>
      </c>
      <c r="AD9">
        <v>0</v>
      </c>
      <c r="AE9">
        <v>0</v>
      </c>
      <c r="AF9">
        <v>1442.85</v>
      </c>
      <c r="AG9">
        <v>407.16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6</v>
      </c>
      <c r="AT9">
        <v>1.6</v>
      </c>
      <c r="AU9" t="s">
        <v>6</v>
      </c>
      <c r="AV9">
        <v>1</v>
      </c>
      <c r="AW9">
        <v>2</v>
      </c>
      <c r="AX9">
        <v>41853726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2308.56</v>
      </c>
      <c r="BL9">
        <v>651.45600000000013</v>
      </c>
      <c r="BM9">
        <v>0</v>
      </c>
      <c r="BN9">
        <v>0</v>
      </c>
      <c r="BO9">
        <v>1.6</v>
      </c>
      <c r="BP9">
        <v>1</v>
      </c>
      <c r="BQ9">
        <v>0</v>
      </c>
      <c r="BR9">
        <v>2308.56</v>
      </c>
      <c r="BS9">
        <v>651.45600000000013</v>
      </c>
      <c r="BT9">
        <v>0</v>
      </c>
      <c r="BU9">
        <v>0</v>
      </c>
      <c r="BV9">
        <v>1.6</v>
      </c>
      <c r="BW9">
        <v>1</v>
      </c>
      <c r="CV9">
        <v>0</v>
      </c>
      <c r="CW9">
        <f>ROUND(Y9*Source!I30,7)</f>
        <v>4.48E-2</v>
      </c>
      <c r="CX9">
        <f>ROUND(Y9*Source!I30,7)</f>
        <v>4.48E-2</v>
      </c>
      <c r="CY9">
        <f>AB9</f>
        <v>1442.85</v>
      </c>
      <c r="CZ9">
        <f>AF9</f>
        <v>1442.85</v>
      </c>
      <c r="DA9">
        <f>AJ9</f>
        <v>1</v>
      </c>
      <c r="DB9">
        <f t="shared" si="1"/>
        <v>2308.56</v>
      </c>
      <c r="DC9">
        <f t="shared" si="2"/>
        <v>651.46</v>
      </c>
      <c r="DD9" t="s">
        <v>6</v>
      </c>
      <c r="DE9" t="s">
        <v>6</v>
      </c>
      <c r="DF9">
        <f t="shared" si="6"/>
        <v>0</v>
      </c>
      <c r="DG9">
        <f t="shared" si="3"/>
        <v>64.64</v>
      </c>
      <c r="DH9">
        <f t="shared" si="4"/>
        <v>18.239999999999998</v>
      </c>
      <c r="DI9">
        <f t="shared" si="5"/>
        <v>0</v>
      </c>
      <c r="DJ9">
        <f>DG9+DH9</f>
        <v>82.88</v>
      </c>
      <c r="DK9">
        <v>1</v>
      </c>
      <c r="DL9" t="s">
        <v>328</v>
      </c>
      <c r="DM9">
        <v>6</v>
      </c>
      <c r="DN9" t="s">
        <v>321</v>
      </c>
      <c r="DO9">
        <v>1</v>
      </c>
    </row>
    <row r="10" spans="1:119">
      <c r="A10">
        <f>ROW(Source!A30)</f>
        <v>30</v>
      </c>
      <c r="B10">
        <v>41853493</v>
      </c>
      <c r="C10">
        <v>41853723</v>
      </c>
      <c r="D10">
        <v>40989217</v>
      </c>
      <c r="E10">
        <v>1</v>
      </c>
      <c r="F10">
        <v>1</v>
      </c>
      <c r="G10">
        <v>1</v>
      </c>
      <c r="H10">
        <v>2</v>
      </c>
      <c r="I10" t="s">
        <v>329</v>
      </c>
      <c r="J10" t="s">
        <v>330</v>
      </c>
      <c r="K10" t="s">
        <v>331</v>
      </c>
      <c r="L10">
        <v>1368</v>
      </c>
      <c r="N10">
        <v>1011</v>
      </c>
      <c r="O10" t="s">
        <v>327</v>
      </c>
      <c r="P10" t="s">
        <v>327</v>
      </c>
      <c r="Q10">
        <v>1</v>
      </c>
      <c r="W10">
        <v>0</v>
      </c>
      <c r="X10">
        <v>1230426758</v>
      </c>
      <c r="Y10">
        <f t="shared" si="0"/>
        <v>1.6</v>
      </c>
      <c r="AA10">
        <v>0</v>
      </c>
      <c r="AB10">
        <v>557.94000000000005</v>
      </c>
      <c r="AC10">
        <v>303.11</v>
      </c>
      <c r="AD10">
        <v>0</v>
      </c>
      <c r="AE10">
        <v>0</v>
      </c>
      <c r="AF10">
        <v>557.94000000000005</v>
      </c>
      <c r="AG10">
        <v>303.11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6</v>
      </c>
      <c r="AT10">
        <v>1.6</v>
      </c>
      <c r="AU10" t="s">
        <v>6</v>
      </c>
      <c r="AV10">
        <v>1</v>
      </c>
      <c r="AW10">
        <v>2</v>
      </c>
      <c r="AX10">
        <v>41853727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892.70400000000018</v>
      </c>
      <c r="BL10">
        <v>484.97600000000006</v>
      </c>
      <c r="BM10">
        <v>0</v>
      </c>
      <c r="BN10">
        <v>0</v>
      </c>
      <c r="BO10">
        <v>1.6</v>
      </c>
      <c r="BP10">
        <v>1</v>
      </c>
      <c r="BQ10">
        <v>0</v>
      </c>
      <c r="BR10">
        <v>892.70400000000018</v>
      </c>
      <c r="BS10">
        <v>484.97600000000006</v>
      </c>
      <c r="BT10">
        <v>0</v>
      </c>
      <c r="BU10">
        <v>0</v>
      </c>
      <c r="BV10">
        <v>1.6</v>
      </c>
      <c r="BW10">
        <v>1</v>
      </c>
      <c r="CV10">
        <v>0</v>
      </c>
      <c r="CW10">
        <f>ROUND(Y10*Source!I30,7)</f>
        <v>4.48E-2</v>
      </c>
      <c r="CX10">
        <f>ROUND(Y10*Source!I30,7)</f>
        <v>4.48E-2</v>
      </c>
      <c r="CY10">
        <f>AB10</f>
        <v>557.94000000000005</v>
      </c>
      <c r="CZ10">
        <f>AF10</f>
        <v>557.94000000000005</v>
      </c>
      <c r="DA10">
        <f>AJ10</f>
        <v>1</v>
      </c>
      <c r="DB10">
        <f t="shared" si="1"/>
        <v>892.7</v>
      </c>
      <c r="DC10">
        <f t="shared" si="2"/>
        <v>484.98</v>
      </c>
      <c r="DD10" t="s">
        <v>6</v>
      </c>
      <c r="DE10" t="s">
        <v>6</v>
      </c>
      <c r="DF10">
        <f t="shared" si="6"/>
        <v>0</v>
      </c>
      <c r="DG10">
        <f t="shared" si="3"/>
        <v>25</v>
      </c>
      <c r="DH10">
        <f t="shared" si="4"/>
        <v>13.58</v>
      </c>
      <c r="DI10">
        <f t="shared" si="5"/>
        <v>0</v>
      </c>
      <c r="DJ10">
        <f>DG10+DH10</f>
        <v>38.58</v>
      </c>
      <c r="DK10">
        <v>1</v>
      </c>
      <c r="DL10" t="s">
        <v>332</v>
      </c>
      <c r="DM10">
        <v>4</v>
      </c>
      <c r="DN10" t="s">
        <v>321</v>
      </c>
      <c r="DO10">
        <v>1</v>
      </c>
    </row>
    <row r="11" spans="1:119">
      <c r="A11">
        <f>ROW(Source!A30)</f>
        <v>30</v>
      </c>
      <c r="B11">
        <v>41853493</v>
      </c>
      <c r="C11">
        <v>41853723</v>
      </c>
      <c r="D11">
        <v>40989496</v>
      </c>
      <c r="E11">
        <v>1</v>
      </c>
      <c r="F11">
        <v>1</v>
      </c>
      <c r="G11">
        <v>1</v>
      </c>
      <c r="H11">
        <v>2</v>
      </c>
      <c r="I11" t="s">
        <v>338</v>
      </c>
      <c r="J11" t="s">
        <v>339</v>
      </c>
      <c r="K11" t="s">
        <v>340</v>
      </c>
      <c r="L11">
        <v>1368</v>
      </c>
      <c r="N11">
        <v>1011</v>
      </c>
      <c r="O11" t="s">
        <v>327</v>
      </c>
      <c r="P11" t="s">
        <v>327</v>
      </c>
      <c r="Q11">
        <v>1</v>
      </c>
      <c r="W11">
        <v>0</v>
      </c>
      <c r="X11">
        <v>1280601743</v>
      </c>
      <c r="Y11">
        <f t="shared" si="0"/>
        <v>13.07</v>
      </c>
      <c r="AA11">
        <v>0</v>
      </c>
      <c r="AB11">
        <v>17.78</v>
      </c>
      <c r="AC11">
        <v>0</v>
      </c>
      <c r="AD11">
        <v>0</v>
      </c>
      <c r="AE11">
        <v>0</v>
      </c>
      <c r="AF11">
        <v>17.78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6</v>
      </c>
      <c r="AT11">
        <v>13.07</v>
      </c>
      <c r="AU11" t="s">
        <v>6</v>
      </c>
      <c r="AV11">
        <v>1</v>
      </c>
      <c r="AW11">
        <v>2</v>
      </c>
      <c r="AX11">
        <v>41853728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232.38460000000001</v>
      </c>
      <c r="BL11">
        <v>0</v>
      </c>
      <c r="BM11">
        <v>0</v>
      </c>
      <c r="BN11">
        <v>0</v>
      </c>
      <c r="BO11">
        <v>0</v>
      </c>
      <c r="BP11">
        <v>1</v>
      </c>
      <c r="BQ11">
        <v>0</v>
      </c>
      <c r="BR11">
        <v>232.38460000000001</v>
      </c>
      <c r="BS11">
        <v>0</v>
      </c>
      <c r="BT11">
        <v>0</v>
      </c>
      <c r="BU11">
        <v>0</v>
      </c>
      <c r="BV11">
        <v>0</v>
      </c>
      <c r="BW11">
        <v>1</v>
      </c>
      <c r="CV11">
        <v>0</v>
      </c>
      <c r="CW11">
        <f>ROUND(Y11*Source!I30,7)</f>
        <v>0.36596000000000001</v>
      </c>
      <c r="CX11">
        <f>ROUND(Y11*Source!I30,7)</f>
        <v>0.36596000000000001</v>
      </c>
      <c r="CY11">
        <f>AB11</f>
        <v>17.78</v>
      </c>
      <c r="CZ11">
        <f>AF11</f>
        <v>17.78</v>
      </c>
      <c r="DA11">
        <f>AJ11</f>
        <v>1</v>
      </c>
      <c r="DB11">
        <f t="shared" si="1"/>
        <v>232.38</v>
      </c>
      <c r="DC11">
        <f t="shared" si="2"/>
        <v>0</v>
      </c>
      <c r="DD11" t="s">
        <v>6</v>
      </c>
      <c r="DE11" t="s">
        <v>6</v>
      </c>
      <c r="DF11">
        <f t="shared" si="6"/>
        <v>0</v>
      </c>
      <c r="DG11">
        <f t="shared" si="3"/>
        <v>6.51</v>
      </c>
      <c r="DH11">
        <f t="shared" si="4"/>
        <v>0</v>
      </c>
      <c r="DI11">
        <f t="shared" si="5"/>
        <v>0</v>
      </c>
      <c r="DJ11">
        <f>DG11+DH11</f>
        <v>6.51</v>
      </c>
      <c r="DK11">
        <v>1</v>
      </c>
      <c r="DL11" t="s">
        <v>6</v>
      </c>
      <c r="DM11">
        <v>0</v>
      </c>
      <c r="DN11" t="s">
        <v>6</v>
      </c>
      <c r="DO11">
        <v>0</v>
      </c>
    </row>
    <row r="12" spans="1:119">
      <c r="A12">
        <f>ROW(Source!A30)</f>
        <v>30</v>
      </c>
      <c r="B12">
        <v>41853493</v>
      </c>
      <c r="C12">
        <v>41853723</v>
      </c>
      <c r="D12">
        <v>40995195</v>
      </c>
      <c r="E12">
        <v>1</v>
      </c>
      <c r="F12">
        <v>1</v>
      </c>
      <c r="G12">
        <v>1</v>
      </c>
      <c r="H12">
        <v>3</v>
      </c>
      <c r="I12" t="s">
        <v>341</v>
      </c>
      <c r="J12" t="s">
        <v>342</v>
      </c>
      <c r="K12" t="s">
        <v>343</v>
      </c>
      <c r="L12">
        <v>1346</v>
      </c>
      <c r="N12">
        <v>1009</v>
      </c>
      <c r="O12" t="s">
        <v>344</v>
      </c>
      <c r="P12" t="s">
        <v>344</v>
      </c>
      <c r="Q12">
        <v>1</v>
      </c>
      <c r="W12">
        <v>0</v>
      </c>
      <c r="X12">
        <v>-1545686836</v>
      </c>
      <c r="Y12">
        <f t="shared" ref="Y12:Y17" si="7">(AT12*ROUND(0,7))</f>
        <v>0</v>
      </c>
      <c r="AA12">
        <v>160.30000000000001</v>
      </c>
      <c r="AB12">
        <v>0</v>
      </c>
      <c r="AC12">
        <v>0</v>
      </c>
      <c r="AD12">
        <v>0</v>
      </c>
      <c r="AE12">
        <v>155.63</v>
      </c>
      <c r="AF12">
        <v>0</v>
      </c>
      <c r="AG12">
        <v>0</v>
      </c>
      <c r="AH12">
        <v>0</v>
      </c>
      <c r="AI12">
        <v>1.03</v>
      </c>
      <c r="AJ12">
        <v>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6</v>
      </c>
      <c r="AT12">
        <v>4.2</v>
      </c>
      <c r="AU12" t="s">
        <v>39</v>
      </c>
      <c r="AV12">
        <v>0</v>
      </c>
      <c r="AW12">
        <v>2</v>
      </c>
      <c r="AX12">
        <v>41853729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653.64599999999996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1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ROUND(Y12*Source!I30,7)</f>
        <v>0</v>
      </c>
      <c r="CY12">
        <f t="shared" ref="CY12:CY18" si="8">AA12</f>
        <v>160.30000000000001</v>
      </c>
      <c r="CZ12">
        <f t="shared" ref="CZ12:CZ18" si="9">AE12</f>
        <v>155.63</v>
      </c>
      <c r="DA12">
        <f t="shared" ref="DA12:DA18" si="10">AI12</f>
        <v>1.03</v>
      </c>
      <c r="DB12">
        <f t="shared" ref="DB12:DB17" si="11">ROUND((ROUND(AT12*CZ12,2)*ROUND(0,7)),2)</f>
        <v>0</v>
      </c>
      <c r="DC12">
        <f t="shared" ref="DC12:DC17" si="12">ROUND((ROUND(AT12*AG12,2)*ROUND(0,7)),2)</f>
        <v>0</v>
      </c>
      <c r="DD12" t="s">
        <v>6</v>
      </c>
      <c r="DE12" t="s">
        <v>6</v>
      </c>
      <c r="DF12">
        <f>ROUND(ROUND(AE12*AI12,2)*CX12,2)</f>
        <v>0</v>
      </c>
      <c r="DG12">
        <f t="shared" si="3"/>
        <v>0</v>
      </c>
      <c r="DH12">
        <f t="shared" si="4"/>
        <v>0</v>
      </c>
      <c r="DI12">
        <f t="shared" si="5"/>
        <v>0</v>
      </c>
      <c r="DJ12">
        <f t="shared" ref="DJ12:DJ18" si="13">DF12</f>
        <v>0</v>
      </c>
      <c r="DK12">
        <v>0</v>
      </c>
      <c r="DL12" t="s">
        <v>6</v>
      </c>
      <c r="DM12">
        <v>0</v>
      </c>
      <c r="DN12" t="s">
        <v>6</v>
      </c>
      <c r="DO12">
        <v>0</v>
      </c>
    </row>
    <row r="13" spans="1:119">
      <c r="A13">
        <f>ROW(Source!A30)</f>
        <v>30</v>
      </c>
      <c r="B13">
        <v>41853493</v>
      </c>
      <c r="C13">
        <v>41853723</v>
      </c>
      <c r="D13">
        <v>40996264</v>
      </c>
      <c r="E13">
        <v>1</v>
      </c>
      <c r="F13">
        <v>1</v>
      </c>
      <c r="G13">
        <v>1</v>
      </c>
      <c r="H13">
        <v>3</v>
      </c>
      <c r="I13" t="s">
        <v>345</v>
      </c>
      <c r="J13" t="s">
        <v>346</v>
      </c>
      <c r="K13" t="s">
        <v>347</v>
      </c>
      <c r="L13">
        <v>1346</v>
      </c>
      <c r="N13">
        <v>1009</v>
      </c>
      <c r="O13" t="s">
        <v>344</v>
      </c>
      <c r="P13" t="s">
        <v>344</v>
      </c>
      <c r="Q13">
        <v>1</v>
      </c>
      <c r="W13">
        <v>0</v>
      </c>
      <c r="X13">
        <v>-385218612</v>
      </c>
      <c r="Y13">
        <f t="shared" si="7"/>
        <v>0</v>
      </c>
      <c r="AA13">
        <v>194.17</v>
      </c>
      <c r="AB13">
        <v>0</v>
      </c>
      <c r="AC13">
        <v>0</v>
      </c>
      <c r="AD13">
        <v>0</v>
      </c>
      <c r="AE13">
        <v>174.93</v>
      </c>
      <c r="AF13">
        <v>0</v>
      </c>
      <c r="AG13">
        <v>0</v>
      </c>
      <c r="AH13">
        <v>0</v>
      </c>
      <c r="AI13">
        <v>1.1100000000000001</v>
      </c>
      <c r="AJ13">
        <v>1</v>
      </c>
      <c r="AK13">
        <v>1</v>
      </c>
      <c r="AL13">
        <v>1</v>
      </c>
      <c r="AM13">
        <v>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6</v>
      </c>
      <c r="AT13">
        <v>27</v>
      </c>
      <c r="AU13" t="s">
        <v>39</v>
      </c>
      <c r="AV13">
        <v>0</v>
      </c>
      <c r="AW13">
        <v>2</v>
      </c>
      <c r="AX13">
        <v>41853730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4723.1100000000006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ROUND(Y13*Source!I30,7)</f>
        <v>0</v>
      </c>
      <c r="CY13">
        <f t="shared" si="8"/>
        <v>194.17</v>
      </c>
      <c r="CZ13">
        <f t="shared" si="9"/>
        <v>174.93</v>
      </c>
      <c r="DA13">
        <f t="shared" si="10"/>
        <v>1.1100000000000001</v>
      </c>
      <c r="DB13">
        <f t="shared" si="11"/>
        <v>0</v>
      </c>
      <c r="DC13">
        <f t="shared" si="12"/>
        <v>0</v>
      </c>
      <c r="DD13" t="s">
        <v>6</v>
      </c>
      <c r="DE13" t="s">
        <v>6</v>
      </c>
      <c r="DF13">
        <f>ROUND(ROUND(AE13*AI13,2)*CX13,2)</f>
        <v>0</v>
      </c>
      <c r="DG13">
        <f t="shared" si="3"/>
        <v>0</v>
      </c>
      <c r="DH13">
        <f t="shared" si="4"/>
        <v>0</v>
      </c>
      <c r="DI13">
        <f t="shared" si="5"/>
        <v>0</v>
      </c>
      <c r="DJ13">
        <f t="shared" si="13"/>
        <v>0</v>
      </c>
      <c r="DK13">
        <v>0</v>
      </c>
      <c r="DL13" t="s">
        <v>6</v>
      </c>
      <c r="DM13">
        <v>0</v>
      </c>
      <c r="DN13" t="s">
        <v>6</v>
      </c>
      <c r="DO13">
        <v>0</v>
      </c>
    </row>
    <row r="14" spans="1:119">
      <c r="A14">
        <f>ROW(Source!A30)</f>
        <v>30</v>
      </c>
      <c r="B14">
        <v>41853493</v>
      </c>
      <c r="C14">
        <v>41853723</v>
      </c>
      <c r="D14">
        <v>40996397</v>
      </c>
      <c r="E14">
        <v>1</v>
      </c>
      <c r="F14">
        <v>1</v>
      </c>
      <c r="G14">
        <v>1</v>
      </c>
      <c r="H14">
        <v>3</v>
      </c>
      <c r="I14" t="s">
        <v>348</v>
      </c>
      <c r="J14" t="s">
        <v>349</v>
      </c>
      <c r="K14" t="s">
        <v>350</v>
      </c>
      <c r="L14">
        <v>1425</v>
      </c>
      <c r="N14">
        <v>1013</v>
      </c>
      <c r="O14" t="s">
        <v>44</v>
      </c>
      <c r="P14" t="s">
        <v>44</v>
      </c>
      <c r="Q14">
        <v>1</v>
      </c>
      <c r="W14">
        <v>0</v>
      </c>
      <c r="X14">
        <v>319584964</v>
      </c>
      <c r="Y14">
        <f t="shared" si="7"/>
        <v>0</v>
      </c>
      <c r="AA14">
        <v>275.81</v>
      </c>
      <c r="AB14">
        <v>0</v>
      </c>
      <c r="AC14">
        <v>0</v>
      </c>
      <c r="AD14">
        <v>0</v>
      </c>
      <c r="AE14">
        <v>237.77</v>
      </c>
      <c r="AF14">
        <v>0</v>
      </c>
      <c r="AG14">
        <v>0</v>
      </c>
      <c r="AH14">
        <v>0</v>
      </c>
      <c r="AI14">
        <v>1.1599999999999999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6</v>
      </c>
      <c r="AT14">
        <v>0.8</v>
      </c>
      <c r="AU14" t="s">
        <v>39</v>
      </c>
      <c r="AV14">
        <v>0</v>
      </c>
      <c r="AW14">
        <v>2</v>
      </c>
      <c r="AX14">
        <v>41853731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190.21600000000001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ROUND(Y14*Source!I30,7)</f>
        <v>0</v>
      </c>
      <c r="CY14">
        <f t="shared" si="8"/>
        <v>275.81</v>
      </c>
      <c r="CZ14">
        <f t="shared" si="9"/>
        <v>237.77</v>
      </c>
      <c r="DA14">
        <f t="shared" si="10"/>
        <v>1.1599999999999999</v>
      </c>
      <c r="DB14">
        <f t="shared" si="11"/>
        <v>0</v>
      </c>
      <c r="DC14">
        <f t="shared" si="12"/>
        <v>0</v>
      </c>
      <c r="DD14" t="s">
        <v>6</v>
      </c>
      <c r="DE14" t="s">
        <v>6</v>
      </c>
      <c r="DF14">
        <f>ROUND(ROUND(AE14*AI14,2)*CX14,2)</f>
        <v>0</v>
      </c>
      <c r="DG14">
        <f t="shared" si="3"/>
        <v>0</v>
      </c>
      <c r="DH14">
        <f t="shared" si="4"/>
        <v>0</v>
      </c>
      <c r="DI14">
        <f t="shared" si="5"/>
        <v>0</v>
      </c>
      <c r="DJ14">
        <f t="shared" si="13"/>
        <v>0</v>
      </c>
      <c r="DK14">
        <v>0</v>
      </c>
      <c r="DL14" t="s">
        <v>6</v>
      </c>
      <c r="DM14">
        <v>0</v>
      </c>
      <c r="DN14" t="s">
        <v>6</v>
      </c>
      <c r="DO14">
        <v>0</v>
      </c>
    </row>
    <row r="15" spans="1:119">
      <c r="A15">
        <f>ROW(Source!A30)</f>
        <v>30</v>
      </c>
      <c r="B15">
        <v>41853493</v>
      </c>
      <c r="C15">
        <v>41853723</v>
      </c>
      <c r="D15">
        <v>40998861</v>
      </c>
      <c r="E15">
        <v>1</v>
      </c>
      <c r="F15">
        <v>1</v>
      </c>
      <c r="G15">
        <v>1</v>
      </c>
      <c r="H15">
        <v>3</v>
      </c>
      <c r="I15" t="s">
        <v>351</v>
      </c>
      <c r="J15" t="s">
        <v>352</v>
      </c>
      <c r="K15" t="s">
        <v>353</v>
      </c>
      <c r="L15">
        <v>1339</v>
      </c>
      <c r="N15">
        <v>1007</v>
      </c>
      <c r="O15" t="s">
        <v>354</v>
      </c>
      <c r="P15" t="s">
        <v>354</v>
      </c>
      <c r="Q15">
        <v>1</v>
      </c>
      <c r="W15">
        <v>0</v>
      </c>
      <c r="X15">
        <v>-393681643</v>
      </c>
      <c r="Y15">
        <f t="shared" si="7"/>
        <v>0</v>
      </c>
      <c r="AA15">
        <v>909.97</v>
      </c>
      <c r="AB15">
        <v>0</v>
      </c>
      <c r="AC15">
        <v>0</v>
      </c>
      <c r="AD15">
        <v>0</v>
      </c>
      <c r="AE15">
        <v>565.20000000000005</v>
      </c>
      <c r="AF15">
        <v>0</v>
      </c>
      <c r="AG15">
        <v>0</v>
      </c>
      <c r="AH15">
        <v>0</v>
      </c>
      <c r="AI15">
        <v>1.61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6</v>
      </c>
      <c r="AT15">
        <v>0.15</v>
      </c>
      <c r="AU15" t="s">
        <v>39</v>
      </c>
      <c r="AV15">
        <v>0</v>
      </c>
      <c r="AW15">
        <v>2</v>
      </c>
      <c r="AX15">
        <v>41853732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84.78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ROUND(Y15*Source!I30,7)</f>
        <v>0</v>
      </c>
      <c r="CY15">
        <f t="shared" si="8"/>
        <v>909.97</v>
      </c>
      <c r="CZ15">
        <f t="shared" si="9"/>
        <v>565.20000000000005</v>
      </c>
      <c r="DA15">
        <f t="shared" si="10"/>
        <v>1.61</v>
      </c>
      <c r="DB15">
        <f t="shared" si="11"/>
        <v>0</v>
      </c>
      <c r="DC15">
        <f t="shared" si="12"/>
        <v>0</v>
      </c>
      <c r="DD15" t="s">
        <v>6</v>
      </c>
      <c r="DE15" t="s">
        <v>6</v>
      </c>
      <c r="DF15">
        <f>ROUND(ROUND(AE15*AI15,2)*CX15,2)</f>
        <v>0</v>
      </c>
      <c r="DG15">
        <f t="shared" si="3"/>
        <v>0</v>
      </c>
      <c r="DH15">
        <f t="shared" si="4"/>
        <v>0</v>
      </c>
      <c r="DI15">
        <f t="shared" si="5"/>
        <v>0</v>
      </c>
      <c r="DJ15">
        <f t="shared" si="13"/>
        <v>0</v>
      </c>
      <c r="DK15">
        <v>0</v>
      </c>
      <c r="DL15" t="s">
        <v>6</v>
      </c>
      <c r="DM15">
        <v>0</v>
      </c>
      <c r="DN15" t="s">
        <v>6</v>
      </c>
      <c r="DO15">
        <v>0</v>
      </c>
    </row>
    <row r="16" spans="1:119">
      <c r="A16">
        <f>ROW(Source!A30)</f>
        <v>30</v>
      </c>
      <c r="B16">
        <v>41853493</v>
      </c>
      <c r="C16">
        <v>41853723</v>
      </c>
      <c r="D16">
        <v>40999211</v>
      </c>
      <c r="E16">
        <v>1</v>
      </c>
      <c r="F16">
        <v>1</v>
      </c>
      <c r="G16">
        <v>1</v>
      </c>
      <c r="H16">
        <v>3</v>
      </c>
      <c r="I16" t="s">
        <v>355</v>
      </c>
      <c r="J16" t="s">
        <v>356</v>
      </c>
      <c r="K16" t="s">
        <v>357</v>
      </c>
      <c r="L16">
        <v>1348</v>
      </c>
      <c r="N16">
        <v>1009</v>
      </c>
      <c r="O16" t="s">
        <v>37</v>
      </c>
      <c r="P16" t="s">
        <v>37</v>
      </c>
      <c r="Q16">
        <v>1000</v>
      </c>
      <c r="W16">
        <v>0</v>
      </c>
      <c r="X16">
        <v>-1583890775</v>
      </c>
      <c r="Y16">
        <f t="shared" si="7"/>
        <v>0</v>
      </c>
      <c r="AA16">
        <v>6746.26</v>
      </c>
      <c r="AB16">
        <v>0</v>
      </c>
      <c r="AC16">
        <v>0</v>
      </c>
      <c r="AD16">
        <v>0</v>
      </c>
      <c r="AE16">
        <v>6746.26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6</v>
      </c>
      <c r="AT16">
        <v>0.18</v>
      </c>
      <c r="AU16" t="s">
        <v>39</v>
      </c>
      <c r="AV16">
        <v>0</v>
      </c>
      <c r="AW16">
        <v>2</v>
      </c>
      <c r="AX16">
        <v>41853733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1214.3268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ROUND(Y16*Source!I30,7)</f>
        <v>0</v>
      </c>
      <c r="CY16">
        <f t="shared" si="8"/>
        <v>6746.26</v>
      </c>
      <c r="CZ16">
        <f t="shared" si="9"/>
        <v>6746.26</v>
      </c>
      <c r="DA16">
        <f t="shared" si="10"/>
        <v>1</v>
      </c>
      <c r="DB16">
        <f t="shared" si="11"/>
        <v>0</v>
      </c>
      <c r="DC16">
        <f t="shared" si="12"/>
        <v>0</v>
      </c>
      <c r="DD16" t="s">
        <v>6</v>
      </c>
      <c r="DE16" t="s">
        <v>6</v>
      </c>
      <c r="DF16">
        <f>ROUND(ROUND(AE16,2)*CX16,2)</f>
        <v>0</v>
      </c>
      <c r="DG16">
        <f t="shared" si="3"/>
        <v>0</v>
      </c>
      <c r="DH16">
        <f t="shared" si="4"/>
        <v>0</v>
      </c>
      <c r="DI16">
        <f t="shared" si="5"/>
        <v>0</v>
      </c>
      <c r="DJ16">
        <f t="shared" si="13"/>
        <v>0</v>
      </c>
      <c r="DK16">
        <v>1</v>
      </c>
      <c r="DL16" t="s">
        <v>6</v>
      </c>
      <c r="DM16">
        <v>0</v>
      </c>
      <c r="DN16" t="s">
        <v>6</v>
      </c>
      <c r="DO16">
        <v>0</v>
      </c>
    </row>
    <row r="17" spans="1:119">
      <c r="A17">
        <f>ROW(Source!A30)</f>
        <v>30</v>
      </c>
      <c r="B17">
        <v>41853493</v>
      </c>
      <c r="C17">
        <v>41853723</v>
      </c>
      <c r="D17">
        <v>41004163</v>
      </c>
      <c r="E17">
        <v>1</v>
      </c>
      <c r="F17">
        <v>1</v>
      </c>
      <c r="G17">
        <v>1</v>
      </c>
      <c r="H17">
        <v>3</v>
      </c>
      <c r="I17" t="s">
        <v>358</v>
      </c>
      <c r="J17" t="s">
        <v>359</v>
      </c>
      <c r="K17" t="s">
        <v>360</v>
      </c>
      <c r="L17">
        <v>1348</v>
      </c>
      <c r="N17">
        <v>1009</v>
      </c>
      <c r="O17" t="s">
        <v>37</v>
      </c>
      <c r="P17" t="s">
        <v>37</v>
      </c>
      <c r="Q17">
        <v>1000</v>
      </c>
      <c r="W17">
        <v>0</v>
      </c>
      <c r="X17">
        <v>-1588183596</v>
      </c>
      <c r="Y17">
        <f t="shared" si="7"/>
        <v>0</v>
      </c>
      <c r="AA17">
        <v>116859.48</v>
      </c>
      <c r="AB17">
        <v>0</v>
      </c>
      <c r="AC17">
        <v>0</v>
      </c>
      <c r="AD17">
        <v>0</v>
      </c>
      <c r="AE17">
        <v>105278.81</v>
      </c>
      <c r="AF17">
        <v>0</v>
      </c>
      <c r="AG17">
        <v>0</v>
      </c>
      <c r="AH17">
        <v>0</v>
      </c>
      <c r="AI17">
        <v>1.1100000000000001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6</v>
      </c>
      <c r="AT17">
        <v>1</v>
      </c>
      <c r="AU17" t="s">
        <v>39</v>
      </c>
      <c r="AV17">
        <v>0</v>
      </c>
      <c r="AW17">
        <v>2</v>
      </c>
      <c r="AX17">
        <v>41853734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105278.81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ROUND(Y17*Source!I30,7)</f>
        <v>0</v>
      </c>
      <c r="CY17">
        <f t="shared" si="8"/>
        <v>116859.48</v>
      </c>
      <c r="CZ17">
        <f t="shared" si="9"/>
        <v>105278.81</v>
      </c>
      <c r="DA17">
        <f t="shared" si="10"/>
        <v>1.1100000000000001</v>
      </c>
      <c r="DB17">
        <f t="shared" si="11"/>
        <v>0</v>
      </c>
      <c r="DC17">
        <f t="shared" si="12"/>
        <v>0</v>
      </c>
      <c r="DD17" t="s">
        <v>6</v>
      </c>
      <c r="DE17" t="s">
        <v>6</v>
      </c>
      <c r="DF17">
        <f>ROUND(ROUND(AE17*AI17,2)*CX17,2)</f>
        <v>0</v>
      </c>
      <c r="DG17">
        <f t="shared" si="3"/>
        <v>0</v>
      </c>
      <c r="DH17">
        <f t="shared" si="4"/>
        <v>0</v>
      </c>
      <c r="DI17">
        <f t="shared" si="5"/>
        <v>0</v>
      </c>
      <c r="DJ17">
        <f t="shared" si="13"/>
        <v>0</v>
      </c>
      <c r="DK17">
        <v>0</v>
      </c>
      <c r="DL17" t="s">
        <v>6</v>
      </c>
      <c r="DM17">
        <v>0</v>
      </c>
      <c r="DN17" t="s">
        <v>6</v>
      </c>
      <c r="DO17">
        <v>0</v>
      </c>
    </row>
    <row r="18" spans="1:119">
      <c r="A18">
        <f>ROW(Source!A30)</f>
        <v>30</v>
      </c>
      <c r="B18">
        <v>41853493</v>
      </c>
      <c r="C18">
        <v>41853723</v>
      </c>
      <c r="D18">
        <v>40676108</v>
      </c>
      <c r="E18">
        <v>108</v>
      </c>
      <c r="F18">
        <v>1</v>
      </c>
      <c r="G18">
        <v>1</v>
      </c>
      <c r="H18">
        <v>3</v>
      </c>
      <c r="I18" t="s">
        <v>28</v>
      </c>
      <c r="J18" t="s">
        <v>6</v>
      </c>
      <c r="K18" t="s">
        <v>29</v>
      </c>
      <c r="L18">
        <v>3277935</v>
      </c>
      <c r="N18">
        <v>1013</v>
      </c>
      <c r="O18" t="s">
        <v>30</v>
      </c>
      <c r="P18" t="s">
        <v>30</v>
      </c>
      <c r="Q18">
        <v>1</v>
      </c>
      <c r="W18">
        <v>0</v>
      </c>
      <c r="X18">
        <v>274903907</v>
      </c>
      <c r="Y18">
        <f t="shared" ref="Y18:Y49" si="14">AT18</f>
        <v>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 t="s">
        <v>6</v>
      </c>
      <c r="AT18">
        <v>2</v>
      </c>
      <c r="AU18" t="s">
        <v>6</v>
      </c>
      <c r="AV18">
        <v>0</v>
      </c>
      <c r="AW18">
        <v>2</v>
      </c>
      <c r="AX18">
        <v>41853735</v>
      </c>
      <c r="AY18">
        <v>1</v>
      </c>
      <c r="AZ18">
        <v>2048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ROUND(Y18*Source!I30,7)</f>
        <v>5.6000000000000001E-2</v>
      </c>
      <c r="CY18">
        <f t="shared" si="8"/>
        <v>0</v>
      </c>
      <c r="CZ18">
        <f t="shared" si="9"/>
        <v>0</v>
      </c>
      <c r="DA18">
        <f t="shared" si="10"/>
        <v>1</v>
      </c>
      <c r="DB18">
        <f t="shared" ref="DB18:DB49" si="15">ROUND(ROUND(AT18*CZ18,2),2)</f>
        <v>0</v>
      </c>
      <c r="DC18">
        <f t="shared" ref="DC18:DC49" si="16">ROUND(ROUND(AT18*AG18,2),2)</f>
        <v>0</v>
      </c>
      <c r="DD18" t="s">
        <v>6</v>
      </c>
      <c r="DE18" t="s">
        <v>6</v>
      </c>
      <c r="DF18">
        <f t="shared" ref="DF18:DF24" si="17">ROUND(ROUND(AE18,2)*CX18,2)</f>
        <v>0</v>
      </c>
      <c r="DG18">
        <f t="shared" si="3"/>
        <v>0</v>
      </c>
      <c r="DH18">
        <f t="shared" si="4"/>
        <v>0</v>
      </c>
      <c r="DI18">
        <f t="shared" si="5"/>
        <v>0</v>
      </c>
      <c r="DJ18">
        <f t="shared" si="13"/>
        <v>0</v>
      </c>
      <c r="DK18">
        <v>0</v>
      </c>
      <c r="DL18" t="s">
        <v>6</v>
      </c>
      <c r="DM18">
        <v>0</v>
      </c>
      <c r="DN18" t="s">
        <v>6</v>
      </c>
      <c r="DO18">
        <v>0</v>
      </c>
    </row>
    <row r="19" spans="1:119">
      <c r="A19">
        <f>ROW(Source!A32)</f>
        <v>32</v>
      </c>
      <c r="B19">
        <v>41853493</v>
      </c>
      <c r="C19">
        <v>41853738</v>
      </c>
      <c r="D19">
        <v>40669968</v>
      </c>
      <c r="E19">
        <v>108</v>
      </c>
      <c r="F19">
        <v>1</v>
      </c>
      <c r="G19">
        <v>1</v>
      </c>
      <c r="H19">
        <v>1</v>
      </c>
      <c r="I19" t="s">
        <v>361</v>
      </c>
      <c r="J19" t="s">
        <v>6</v>
      </c>
      <c r="K19" t="s">
        <v>362</v>
      </c>
      <c r="L19">
        <v>1191</v>
      </c>
      <c r="N19">
        <v>1013</v>
      </c>
      <c r="O19" t="s">
        <v>321</v>
      </c>
      <c r="P19" t="s">
        <v>321</v>
      </c>
      <c r="Q19">
        <v>1</v>
      </c>
      <c r="W19">
        <v>0</v>
      </c>
      <c r="X19">
        <v>-2012709214</v>
      </c>
      <c r="Y19">
        <f t="shared" si="14"/>
        <v>12.16</v>
      </c>
      <c r="AA19">
        <v>0</v>
      </c>
      <c r="AB19">
        <v>0</v>
      </c>
      <c r="AC19">
        <v>0</v>
      </c>
      <c r="AD19">
        <v>296.32</v>
      </c>
      <c r="AE19">
        <v>0</v>
      </c>
      <c r="AF19">
        <v>0</v>
      </c>
      <c r="AG19">
        <v>0</v>
      </c>
      <c r="AH19">
        <v>296.32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6</v>
      </c>
      <c r="AT19">
        <v>12.16</v>
      </c>
      <c r="AU19" t="s">
        <v>6</v>
      </c>
      <c r="AV19">
        <v>1</v>
      </c>
      <c r="AW19">
        <v>2</v>
      </c>
      <c r="AX19">
        <v>41853741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3603.2512000000002</v>
      </c>
      <c r="BN19">
        <v>12.16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3603.2512000000002</v>
      </c>
      <c r="BU19">
        <v>12.16</v>
      </c>
      <c r="BV19">
        <v>0</v>
      </c>
      <c r="BW19">
        <v>1</v>
      </c>
      <c r="CU19">
        <f>ROUND(AT19*Source!I32*AH19*AL19,2)</f>
        <v>26952.32</v>
      </c>
      <c r="CV19">
        <f>ROUND(Y19*Source!I32,7)</f>
        <v>90.956800000000001</v>
      </c>
      <c r="CW19">
        <v>0</v>
      </c>
      <c r="CX19">
        <f>ROUND(Y19*Source!I32,7)</f>
        <v>90.956800000000001</v>
      </c>
      <c r="CY19">
        <f>AD19</f>
        <v>296.32</v>
      </c>
      <c r="CZ19">
        <f>AH19</f>
        <v>296.32</v>
      </c>
      <c r="DA19">
        <f>AL19</f>
        <v>1</v>
      </c>
      <c r="DB19">
        <f t="shared" si="15"/>
        <v>3603.25</v>
      </c>
      <c r="DC19">
        <f t="shared" si="16"/>
        <v>0</v>
      </c>
      <c r="DD19" t="s">
        <v>6</v>
      </c>
      <c r="DE19" t="s">
        <v>6</v>
      </c>
      <c r="DF19">
        <f t="shared" si="17"/>
        <v>0</v>
      </c>
      <c r="DG19">
        <f t="shared" si="3"/>
        <v>0</v>
      </c>
      <c r="DH19">
        <f t="shared" si="4"/>
        <v>0</v>
      </c>
      <c r="DI19">
        <f t="shared" si="5"/>
        <v>26952.32</v>
      </c>
      <c r="DJ19">
        <f>DI19</f>
        <v>26952.32</v>
      </c>
      <c r="DK19">
        <v>1</v>
      </c>
      <c r="DL19" t="s">
        <v>6</v>
      </c>
      <c r="DM19">
        <v>0</v>
      </c>
      <c r="DN19" t="s">
        <v>6</v>
      </c>
      <c r="DO19">
        <v>0</v>
      </c>
    </row>
    <row r="20" spans="1:119">
      <c r="A20">
        <f>ROW(Source!A32)</f>
        <v>32</v>
      </c>
      <c r="B20">
        <v>41853493</v>
      </c>
      <c r="C20">
        <v>41853738</v>
      </c>
      <c r="D20">
        <v>40676108</v>
      </c>
      <c r="E20">
        <v>108</v>
      </c>
      <c r="F20">
        <v>1</v>
      </c>
      <c r="G20">
        <v>1</v>
      </c>
      <c r="H20">
        <v>3</v>
      </c>
      <c r="I20" t="s">
        <v>28</v>
      </c>
      <c r="J20" t="s">
        <v>6</v>
      </c>
      <c r="K20" t="s">
        <v>29</v>
      </c>
      <c r="L20">
        <v>3277935</v>
      </c>
      <c r="N20">
        <v>1013</v>
      </c>
      <c r="O20" t="s">
        <v>30</v>
      </c>
      <c r="P20" t="s">
        <v>30</v>
      </c>
      <c r="Q20">
        <v>1</v>
      </c>
      <c r="W20">
        <v>0</v>
      </c>
      <c r="X20">
        <v>274903907</v>
      </c>
      <c r="Y20">
        <f t="shared" si="14"/>
        <v>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 t="s">
        <v>6</v>
      </c>
      <c r="AT20">
        <v>2</v>
      </c>
      <c r="AU20" t="s">
        <v>6</v>
      </c>
      <c r="AV20">
        <v>0</v>
      </c>
      <c r="AW20">
        <v>2</v>
      </c>
      <c r="AX20">
        <v>41853742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ROUND(Y20*Source!I32,7)</f>
        <v>14.96</v>
      </c>
      <c r="CY20">
        <f>AA20</f>
        <v>0</v>
      </c>
      <c r="CZ20">
        <f>AE20</f>
        <v>0</v>
      </c>
      <c r="DA20">
        <f>AI20</f>
        <v>1</v>
      </c>
      <c r="DB20">
        <f t="shared" si="15"/>
        <v>0</v>
      </c>
      <c r="DC20">
        <f t="shared" si="16"/>
        <v>0</v>
      </c>
      <c r="DD20" t="s">
        <v>6</v>
      </c>
      <c r="DE20" t="s">
        <v>6</v>
      </c>
      <c r="DF20">
        <f t="shared" si="17"/>
        <v>0</v>
      </c>
      <c r="DG20">
        <f t="shared" si="3"/>
        <v>0</v>
      </c>
      <c r="DH20">
        <f t="shared" si="4"/>
        <v>0</v>
      </c>
      <c r="DI20">
        <f t="shared" si="5"/>
        <v>0</v>
      </c>
      <c r="DJ20">
        <f>DF20</f>
        <v>0</v>
      </c>
      <c r="DK20">
        <v>0</v>
      </c>
      <c r="DL20" t="s">
        <v>6</v>
      </c>
      <c r="DM20">
        <v>0</v>
      </c>
      <c r="DN20" t="s">
        <v>6</v>
      </c>
      <c r="DO20">
        <v>0</v>
      </c>
    </row>
    <row r="21" spans="1:119">
      <c r="A21">
        <f>ROW(Source!A134)</f>
        <v>134</v>
      </c>
      <c r="B21">
        <v>41853493</v>
      </c>
      <c r="C21">
        <v>41853890</v>
      </c>
      <c r="D21">
        <v>40669982</v>
      </c>
      <c r="E21">
        <v>108</v>
      </c>
      <c r="F21">
        <v>1</v>
      </c>
      <c r="G21">
        <v>1</v>
      </c>
      <c r="H21">
        <v>1</v>
      </c>
      <c r="I21" t="s">
        <v>319</v>
      </c>
      <c r="J21" t="s">
        <v>6</v>
      </c>
      <c r="K21" t="s">
        <v>320</v>
      </c>
      <c r="L21">
        <v>1191</v>
      </c>
      <c r="N21">
        <v>1013</v>
      </c>
      <c r="O21" t="s">
        <v>321</v>
      </c>
      <c r="P21" t="s">
        <v>321</v>
      </c>
      <c r="Q21">
        <v>1</v>
      </c>
      <c r="W21">
        <v>0</v>
      </c>
      <c r="X21">
        <v>-1936699058</v>
      </c>
      <c r="Y21">
        <f t="shared" si="14"/>
        <v>0.7</v>
      </c>
      <c r="AA21">
        <v>0</v>
      </c>
      <c r="AB21">
        <v>0</v>
      </c>
      <c r="AC21">
        <v>0</v>
      </c>
      <c r="AD21">
        <v>312.16000000000003</v>
      </c>
      <c r="AE21">
        <v>0</v>
      </c>
      <c r="AF21">
        <v>0</v>
      </c>
      <c r="AG21">
        <v>0</v>
      </c>
      <c r="AH21">
        <v>312.16000000000003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6</v>
      </c>
      <c r="AT21">
        <v>0.7</v>
      </c>
      <c r="AU21" t="s">
        <v>6</v>
      </c>
      <c r="AV21">
        <v>1</v>
      </c>
      <c r="AW21">
        <v>2</v>
      </c>
      <c r="AX21">
        <v>41853891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218.512</v>
      </c>
      <c r="BN21">
        <v>0.7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218.512</v>
      </c>
      <c r="BU21">
        <v>0.7</v>
      </c>
      <c r="BV21">
        <v>0</v>
      </c>
      <c r="BW21">
        <v>1</v>
      </c>
      <c r="CU21">
        <f>ROUND(AT21*Source!I134*AH21*AL21,2)</f>
        <v>2840.66</v>
      </c>
      <c r="CV21">
        <f>ROUND(Y21*Source!I134,7)</f>
        <v>9.1</v>
      </c>
      <c r="CW21">
        <v>0</v>
      </c>
      <c r="CX21">
        <f>ROUND(Y21*Source!I134,7)</f>
        <v>9.1</v>
      </c>
      <c r="CY21">
        <f>AD21</f>
        <v>312.16000000000003</v>
      </c>
      <c r="CZ21">
        <f>AH21</f>
        <v>312.16000000000003</v>
      </c>
      <c r="DA21">
        <f>AL21</f>
        <v>1</v>
      </c>
      <c r="DB21">
        <f t="shared" si="15"/>
        <v>218.51</v>
      </c>
      <c r="DC21">
        <f t="shared" si="16"/>
        <v>0</v>
      </c>
      <c r="DD21" t="s">
        <v>6</v>
      </c>
      <c r="DE21" t="s">
        <v>6</v>
      </c>
      <c r="DF21">
        <f t="shared" si="17"/>
        <v>0</v>
      </c>
      <c r="DG21">
        <f t="shared" si="3"/>
        <v>0</v>
      </c>
      <c r="DH21">
        <f t="shared" si="4"/>
        <v>0</v>
      </c>
      <c r="DI21">
        <f t="shared" si="5"/>
        <v>2840.66</v>
      </c>
      <c r="DJ21">
        <f>DI21</f>
        <v>2840.66</v>
      </c>
      <c r="DK21">
        <v>1</v>
      </c>
      <c r="DL21" t="s">
        <v>6</v>
      </c>
      <c r="DM21">
        <v>0</v>
      </c>
      <c r="DN21" t="s">
        <v>6</v>
      </c>
      <c r="DO21">
        <v>0</v>
      </c>
    </row>
    <row r="22" spans="1:119">
      <c r="A22">
        <f>ROW(Source!A134)</f>
        <v>134</v>
      </c>
      <c r="B22">
        <v>41853493</v>
      </c>
      <c r="C22">
        <v>41853890</v>
      </c>
      <c r="D22">
        <v>40670210</v>
      </c>
      <c r="E22">
        <v>108</v>
      </c>
      <c r="F22">
        <v>1</v>
      </c>
      <c r="G22">
        <v>1</v>
      </c>
      <c r="H22">
        <v>1</v>
      </c>
      <c r="I22" t="s">
        <v>322</v>
      </c>
      <c r="J22" t="s">
        <v>6</v>
      </c>
      <c r="K22" t="s">
        <v>323</v>
      </c>
      <c r="L22">
        <v>1191</v>
      </c>
      <c r="N22">
        <v>1013</v>
      </c>
      <c r="O22" t="s">
        <v>321</v>
      </c>
      <c r="P22" t="s">
        <v>321</v>
      </c>
      <c r="Q22">
        <v>1</v>
      </c>
      <c r="W22">
        <v>0</v>
      </c>
      <c r="X22">
        <v>-1417349443</v>
      </c>
      <c r="Y22">
        <f t="shared" si="14"/>
        <v>0.02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1</v>
      </c>
      <c r="AQ22">
        <v>1</v>
      </c>
      <c r="AR22">
        <v>0</v>
      </c>
      <c r="AS22" t="s">
        <v>6</v>
      </c>
      <c r="AT22">
        <v>0.02</v>
      </c>
      <c r="AU22" t="s">
        <v>6</v>
      </c>
      <c r="AV22">
        <v>2</v>
      </c>
      <c r="AW22">
        <v>2</v>
      </c>
      <c r="AX22">
        <v>41853892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ROUND(Y22*Source!I134,7)</f>
        <v>0.26</v>
      </c>
      <c r="CY22">
        <f>AD22</f>
        <v>0</v>
      </c>
      <c r="CZ22">
        <f>AH22</f>
        <v>0</v>
      </c>
      <c r="DA22">
        <f>AL22</f>
        <v>1</v>
      </c>
      <c r="DB22">
        <f t="shared" si="15"/>
        <v>0</v>
      </c>
      <c r="DC22">
        <f t="shared" si="16"/>
        <v>0</v>
      </c>
      <c r="DD22" t="s">
        <v>6</v>
      </c>
      <c r="DE22" t="s">
        <v>6</v>
      </c>
      <c r="DF22">
        <f t="shared" si="17"/>
        <v>0</v>
      </c>
      <c r="DG22">
        <f t="shared" si="3"/>
        <v>0</v>
      </c>
      <c r="DH22">
        <f t="shared" si="4"/>
        <v>0</v>
      </c>
      <c r="DI22">
        <f t="shared" si="5"/>
        <v>0</v>
      </c>
      <c r="DJ22">
        <f>DI22</f>
        <v>0</v>
      </c>
      <c r="DK22">
        <v>0</v>
      </c>
      <c r="DL22" t="s">
        <v>6</v>
      </c>
      <c r="DM22">
        <v>0</v>
      </c>
      <c r="DN22" t="s">
        <v>6</v>
      </c>
      <c r="DO22">
        <v>0</v>
      </c>
    </row>
    <row r="23" spans="1:119">
      <c r="A23">
        <f>ROW(Source!A134)</f>
        <v>134</v>
      </c>
      <c r="B23">
        <v>41853493</v>
      </c>
      <c r="C23">
        <v>41853890</v>
      </c>
      <c r="D23">
        <v>40987978</v>
      </c>
      <c r="E23">
        <v>1</v>
      </c>
      <c r="F23">
        <v>1</v>
      </c>
      <c r="G23">
        <v>1</v>
      </c>
      <c r="H23">
        <v>2</v>
      </c>
      <c r="I23" t="s">
        <v>324</v>
      </c>
      <c r="J23" t="s">
        <v>325</v>
      </c>
      <c r="K23" t="s">
        <v>326</v>
      </c>
      <c r="L23">
        <v>1368</v>
      </c>
      <c r="N23">
        <v>1011</v>
      </c>
      <c r="O23" t="s">
        <v>327</v>
      </c>
      <c r="P23" t="s">
        <v>327</v>
      </c>
      <c r="Q23">
        <v>1</v>
      </c>
      <c r="W23">
        <v>0</v>
      </c>
      <c r="X23">
        <v>-848025172</v>
      </c>
      <c r="Y23">
        <f t="shared" si="14"/>
        <v>0.01</v>
      </c>
      <c r="AA23">
        <v>0</v>
      </c>
      <c r="AB23">
        <v>1442.85</v>
      </c>
      <c r="AC23">
        <v>407.16</v>
      </c>
      <c r="AD23">
        <v>0</v>
      </c>
      <c r="AE23">
        <v>0</v>
      </c>
      <c r="AF23">
        <v>1442.85</v>
      </c>
      <c r="AG23">
        <v>407.16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6</v>
      </c>
      <c r="AT23">
        <v>0.01</v>
      </c>
      <c r="AU23" t="s">
        <v>6</v>
      </c>
      <c r="AV23">
        <v>1</v>
      </c>
      <c r="AW23">
        <v>2</v>
      </c>
      <c r="AX23">
        <v>41853893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14.4285</v>
      </c>
      <c r="BL23">
        <v>4.0716000000000001</v>
      </c>
      <c r="BM23">
        <v>0</v>
      </c>
      <c r="BN23">
        <v>0</v>
      </c>
      <c r="BO23">
        <v>0.01</v>
      </c>
      <c r="BP23">
        <v>1</v>
      </c>
      <c r="BQ23">
        <v>0</v>
      </c>
      <c r="BR23">
        <v>14.4285</v>
      </c>
      <c r="BS23">
        <v>4.0716000000000001</v>
      </c>
      <c r="BT23">
        <v>0</v>
      </c>
      <c r="BU23">
        <v>0</v>
      </c>
      <c r="BV23">
        <v>0.01</v>
      </c>
      <c r="BW23">
        <v>1</v>
      </c>
      <c r="CV23">
        <v>0</v>
      </c>
      <c r="CW23">
        <f>ROUND(Y23*Source!I134,7)</f>
        <v>0.13</v>
      </c>
      <c r="CX23">
        <f>ROUND(Y23*Source!I134,7)</f>
        <v>0.13</v>
      </c>
      <c r="CY23">
        <f>AB23</f>
        <v>1442.85</v>
      </c>
      <c r="CZ23">
        <f>AF23</f>
        <v>1442.85</v>
      </c>
      <c r="DA23">
        <f>AJ23</f>
        <v>1</v>
      </c>
      <c r="DB23">
        <f t="shared" si="15"/>
        <v>14.43</v>
      </c>
      <c r="DC23">
        <f t="shared" si="16"/>
        <v>4.07</v>
      </c>
      <c r="DD23" t="s">
        <v>6</v>
      </c>
      <c r="DE23" t="s">
        <v>6</v>
      </c>
      <c r="DF23">
        <f t="shared" si="17"/>
        <v>0</v>
      </c>
      <c r="DG23">
        <f t="shared" si="3"/>
        <v>187.57</v>
      </c>
      <c r="DH23">
        <f t="shared" si="4"/>
        <v>52.93</v>
      </c>
      <c r="DI23">
        <f t="shared" si="5"/>
        <v>0</v>
      </c>
      <c r="DJ23">
        <f>DG23+DH23</f>
        <v>240.5</v>
      </c>
      <c r="DK23">
        <v>1</v>
      </c>
      <c r="DL23" t="s">
        <v>328</v>
      </c>
      <c r="DM23">
        <v>6</v>
      </c>
      <c r="DN23" t="s">
        <v>321</v>
      </c>
      <c r="DO23">
        <v>1</v>
      </c>
    </row>
    <row r="24" spans="1:119">
      <c r="A24">
        <f>ROW(Source!A134)</f>
        <v>134</v>
      </c>
      <c r="B24">
        <v>41853493</v>
      </c>
      <c r="C24">
        <v>41853890</v>
      </c>
      <c r="D24">
        <v>40989217</v>
      </c>
      <c r="E24">
        <v>1</v>
      </c>
      <c r="F24">
        <v>1</v>
      </c>
      <c r="G24">
        <v>1</v>
      </c>
      <c r="H24">
        <v>2</v>
      </c>
      <c r="I24" t="s">
        <v>329</v>
      </c>
      <c r="J24" t="s">
        <v>330</v>
      </c>
      <c r="K24" t="s">
        <v>331</v>
      </c>
      <c r="L24">
        <v>1368</v>
      </c>
      <c r="N24">
        <v>1011</v>
      </c>
      <c r="O24" t="s">
        <v>327</v>
      </c>
      <c r="P24" t="s">
        <v>327</v>
      </c>
      <c r="Q24">
        <v>1</v>
      </c>
      <c r="W24">
        <v>0</v>
      </c>
      <c r="X24">
        <v>1230426758</v>
      </c>
      <c r="Y24">
        <f t="shared" si="14"/>
        <v>0.01</v>
      </c>
      <c r="AA24">
        <v>0</v>
      </c>
      <c r="AB24">
        <v>557.94000000000005</v>
      </c>
      <c r="AC24">
        <v>303.11</v>
      </c>
      <c r="AD24">
        <v>0</v>
      </c>
      <c r="AE24">
        <v>0</v>
      </c>
      <c r="AF24">
        <v>557.94000000000005</v>
      </c>
      <c r="AG24">
        <v>303.11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6</v>
      </c>
      <c r="AT24">
        <v>0.01</v>
      </c>
      <c r="AU24" t="s">
        <v>6</v>
      </c>
      <c r="AV24">
        <v>1</v>
      </c>
      <c r="AW24">
        <v>2</v>
      </c>
      <c r="AX24">
        <v>41853894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5.5794000000000006</v>
      </c>
      <c r="BL24">
        <v>3.0311000000000003</v>
      </c>
      <c r="BM24">
        <v>0</v>
      </c>
      <c r="BN24">
        <v>0</v>
      </c>
      <c r="BO24">
        <v>0.01</v>
      </c>
      <c r="BP24">
        <v>1</v>
      </c>
      <c r="BQ24">
        <v>0</v>
      </c>
      <c r="BR24">
        <v>5.5794000000000006</v>
      </c>
      <c r="BS24">
        <v>3.0311000000000003</v>
      </c>
      <c r="BT24">
        <v>0</v>
      </c>
      <c r="BU24">
        <v>0</v>
      </c>
      <c r="BV24">
        <v>0.01</v>
      </c>
      <c r="BW24">
        <v>1</v>
      </c>
      <c r="CV24">
        <v>0</v>
      </c>
      <c r="CW24">
        <f>ROUND(Y24*Source!I134,7)</f>
        <v>0.13</v>
      </c>
      <c r="CX24">
        <f>ROUND(Y24*Source!I134,7)</f>
        <v>0.13</v>
      </c>
      <c r="CY24">
        <f>AB24</f>
        <v>557.94000000000005</v>
      </c>
      <c r="CZ24">
        <f>AF24</f>
        <v>557.94000000000005</v>
      </c>
      <c r="DA24">
        <f>AJ24</f>
        <v>1</v>
      </c>
      <c r="DB24">
        <f t="shared" si="15"/>
        <v>5.58</v>
      </c>
      <c r="DC24">
        <f t="shared" si="16"/>
        <v>3.03</v>
      </c>
      <c r="DD24" t="s">
        <v>6</v>
      </c>
      <c r="DE24" t="s">
        <v>6</v>
      </c>
      <c r="DF24">
        <f t="shared" si="17"/>
        <v>0</v>
      </c>
      <c r="DG24">
        <f t="shared" si="3"/>
        <v>72.53</v>
      </c>
      <c r="DH24">
        <f t="shared" si="4"/>
        <v>39.4</v>
      </c>
      <c r="DI24">
        <f t="shared" si="5"/>
        <v>0</v>
      </c>
      <c r="DJ24">
        <f>DG24+DH24</f>
        <v>111.93</v>
      </c>
      <c r="DK24">
        <v>1</v>
      </c>
      <c r="DL24" t="s">
        <v>332</v>
      </c>
      <c r="DM24">
        <v>4</v>
      </c>
      <c r="DN24" t="s">
        <v>321</v>
      </c>
      <c r="DO24">
        <v>1</v>
      </c>
    </row>
    <row r="25" spans="1:119">
      <c r="A25">
        <f>ROW(Source!A134)</f>
        <v>134</v>
      </c>
      <c r="B25">
        <v>41853493</v>
      </c>
      <c r="C25">
        <v>41853890</v>
      </c>
      <c r="D25">
        <v>40996271</v>
      </c>
      <c r="E25">
        <v>1</v>
      </c>
      <c r="F25">
        <v>1</v>
      </c>
      <c r="G25">
        <v>1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37</v>
      </c>
      <c r="P25" t="s">
        <v>37</v>
      </c>
      <c r="Q25">
        <v>1000</v>
      </c>
      <c r="W25">
        <v>0</v>
      </c>
      <c r="X25">
        <v>1683435163</v>
      </c>
      <c r="Y25">
        <f t="shared" si="14"/>
        <v>3.0000000000000001E-5</v>
      </c>
      <c r="AA25">
        <v>147790.96</v>
      </c>
      <c r="AB25">
        <v>0</v>
      </c>
      <c r="AC25">
        <v>0</v>
      </c>
      <c r="AD25">
        <v>0</v>
      </c>
      <c r="AE25">
        <v>127406</v>
      </c>
      <c r="AF25">
        <v>0</v>
      </c>
      <c r="AG25">
        <v>0</v>
      </c>
      <c r="AH25">
        <v>0</v>
      </c>
      <c r="AI25">
        <v>1.1599999999999999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6</v>
      </c>
      <c r="AT25">
        <v>3.0000000000000001E-5</v>
      </c>
      <c r="AU25" t="s">
        <v>6</v>
      </c>
      <c r="AV25">
        <v>0</v>
      </c>
      <c r="AW25">
        <v>2</v>
      </c>
      <c r="AX25">
        <v>41853895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3.8221799999999999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1</v>
      </c>
      <c r="BQ25">
        <v>3.8221799999999999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1</v>
      </c>
      <c r="CV25">
        <v>0</v>
      </c>
      <c r="CW25">
        <v>0</v>
      </c>
      <c r="CX25">
        <f>ROUND(Y25*Source!I134,7)</f>
        <v>3.8999999999999999E-4</v>
      </c>
      <c r="CY25">
        <f>AA25</f>
        <v>147790.96</v>
      </c>
      <c r="CZ25">
        <f>AE25</f>
        <v>127406</v>
      </c>
      <c r="DA25">
        <f>AI25</f>
        <v>1.1599999999999999</v>
      </c>
      <c r="DB25">
        <f t="shared" si="15"/>
        <v>3.82</v>
      </c>
      <c r="DC25">
        <f t="shared" si="16"/>
        <v>0</v>
      </c>
      <c r="DD25" t="s">
        <v>6</v>
      </c>
      <c r="DE25" t="s">
        <v>6</v>
      </c>
      <c r="DF25">
        <f>ROUND(ROUND(AE25*AI25,2)*CX25,2)</f>
        <v>57.64</v>
      </c>
      <c r="DG25">
        <f t="shared" si="3"/>
        <v>0</v>
      </c>
      <c r="DH25">
        <f t="shared" si="4"/>
        <v>0</v>
      </c>
      <c r="DI25">
        <f t="shared" si="5"/>
        <v>0</v>
      </c>
      <c r="DJ25">
        <f>DF25</f>
        <v>57.64</v>
      </c>
      <c r="DK25">
        <v>0</v>
      </c>
      <c r="DL25" t="s">
        <v>6</v>
      </c>
      <c r="DM25">
        <v>0</v>
      </c>
      <c r="DN25" t="s">
        <v>6</v>
      </c>
      <c r="DO25">
        <v>0</v>
      </c>
    </row>
    <row r="26" spans="1:119">
      <c r="A26">
        <f>ROW(Source!A134)</f>
        <v>134</v>
      </c>
      <c r="B26">
        <v>41853493</v>
      </c>
      <c r="C26">
        <v>41853890</v>
      </c>
      <c r="D26">
        <v>40676108</v>
      </c>
      <c r="E26">
        <v>108</v>
      </c>
      <c r="F26">
        <v>1</v>
      </c>
      <c r="G26">
        <v>1</v>
      </c>
      <c r="H26">
        <v>3</v>
      </c>
      <c r="I26" t="s">
        <v>28</v>
      </c>
      <c r="J26" t="s">
        <v>6</v>
      </c>
      <c r="K26" t="s">
        <v>29</v>
      </c>
      <c r="L26">
        <v>3277935</v>
      </c>
      <c r="N26">
        <v>1013</v>
      </c>
      <c r="O26" t="s">
        <v>30</v>
      </c>
      <c r="P26" t="s">
        <v>30</v>
      </c>
      <c r="Q26">
        <v>1</v>
      </c>
      <c r="W26">
        <v>0</v>
      </c>
      <c r="X26">
        <v>274903907</v>
      </c>
      <c r="Y26">
        <f t="shared" si="14"/>
        <v>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 t="s">
        <v>6</v>
      </c>
      <c r="AT26">
        <v>2</v>
      </c>
      <c r="AU26" t="s">
        <v>6</v>
      </c>
      <c r="AV26">
        <v>0</v>
      </c>
      <c r="AW26">
        <v>2</v>
      </c>
      <c r="AX26">
        <v>41853896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ROUND(Y26*Source!I134,7)</f>
        <v>26</v>
      </c>
      <c r="CY26">
        <f>AA26</f>
        <v>0</v>
      </c>
      <c r="CZ26">
        <f>AE26</f>
        <v>0</v>
      </c>
      <c r="DA26">
        <f>AI26</f>
        <v>1</v>
      </c>
      <c r="DB26">
        <f t="shared" si="15"/>
        <v>0</v>
      </c>
      <c r="DC26">
        <f t="shared" si="16"/>
        <v>0</v>
      </c>
      <c r="DD26" t="s">
        <v>6</v>
      </c>
      <c r="DE26" t="s">
        <v>6</v>
      </c>
      <c r="DF26">
        <f t="shared" ref="DF26:DF33" si="18">ROUND(ROUND(AE26,2)*CX26,2)</f>
        <v>0</v>
      </c>
      <c r="DG26">
        <f t="shared" si="3"/>
        <v>0</v>
      </c>
      <c r="DH26">
        <f t="shared" si="4"/>
        <v>0</v>
      </c>
      <c r="DI26">
        <f t="shared" si="5"/>
        <v>0</v>
      </c>
      <c r="DJ26">
        <f>DF26</f>
        <v>0</v>
      </c>
      <c r="DK26">
        <v>0</v>
      </c>
      <c r="DL26" t="s">
        <v>6</v>
      </c>
      <c r="DM26">
        <v>0</v>
      </c>
      <c r="DN26" t="s">
        <v>6</v>
      </c>
      <c r="DO26">
        <v>0</v>
      </c>
    </row>
    <row r="27" spans="1:119">
      <c r="A27">
        <f>ROW(Source!A136)</f>
        <v>136</v>
      </c>
      <c r="B27">
        <v>41853493</v>
      </c>
      <c r="C27">
        <v>41853898</v>
      </c>
      <c r="D27">
        <v>40669968</v>
      </c>
      <c r="E27">
        <v>108</v>
      </c>
      <c r="F27">
        <v>1</v>
      </c>
      <c r="G27">
        <v>1</v>
      </c>
      <c r="H27">
        <v>1</v>
      </c>
      <c r="I27" t="s">
        <v>361</v>
      </c>
      <c r="J27" t="s">
        <v>6</v>
      </c>
      <c r="K27" t="s">
        <v>362</v>
      </c>
      <c r="L27">
        <v>1191</v>
      </c>
      <c r="N27">
        <v>1013</v>
      </c>
      <c r="O27" t="s">
        <v>321</v>
      </c>
      <c r="P27" t="s">
        <v>321</v>
      </c>
      <c r="Q27">
        <v>1</v>
      </c>
      <c r="W27">
        <v>0</v>
      </c>
      <c r="X27">
        <v>-2012709214</v>
      </c>
      <c r="Y27">
        <f t="shared" si="14"/>
        <v>12.16</v>
      </c>
      <c r="AA27">
        <v>0</v>
      </c>
      <c r="AB27">
        <v>0</v>
      </c>
      <c r="AC27">
        <v>0</v>
      </c>
      <c r="AD27">
        <v>296.32</v>
      </c>
      <c r="AE27">
        <v>0</v>
      </c>
      <c r="AF27">
        <v>0</v>
      </c>
      <c r="AG27">
        <v>0</v>
      </c>
      <c r="AH27">
        <v>296.32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6</v>
      </c>
      <c r="AT27">
        <v>12.16</v>
      </c>
      <c r="AU27" t="s">
        <v>6</v>
      </c>
      <c r="AV27">
        <v>1</v>
      </c>
      <c r="AW27">
        <v>2</v>
      </c>
      <c r="AX27">
        <v>41853899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3603.2512000000002</v>
      </c>
      <c r="BN27">
        <v>12.16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3603.2512000000002</v>
      </c>
      <c r="BU27">
        <v>12.16</v>
      </c>
      <c r="BV27">
        <v>0</v>
      </c>
      <c r="BW27">
        <v>1</v>
      </c>
      <c r="CU27">
        <f>ROUND(AT27*Source!I136*AH27*AL27,2)</f>
        <v>3747.38</v>
      </c>
      <c r="CV27">
        <f>ROUND(Y27*Source!I136,7)</f>
        <v>12.6464</v>
      </c>
      <c r="CW27">
        <v>0</v>
      </c>
      <c r="CX27">
        <f>ROUND(Y27*Source!I136,7)</f>
        <v>12.6464</v>
      </c>
      <c r="CY27">
        <f>AD27</f>
        <v>296.32</v>
      </c>
      <c r="CZ27">
        <f>AH27</f>
        <v>296.32</v>
      </c>
      <c r="DA27">
        <f>AL27</f>
        <v>1</v>
      </c>
      <c r="DB27">
        <f t="shared" si="15"/>
        <v>3603.25</v>
      </c>
      <c r="DC27">
        <f t="shared" si="16"/>
        <v>0</v>
      </c>
      <c r="DD27" t="s">
        <v>6</v>
      </c>
      <c r="DE27" t="s">
        <v>6</v>
      </c>
      <c r="DF27">
        <f t="shared" si="18"/>
        <v>0</v>
      </c>
      <c r="DG27">
        <f t="shared" si="3"/>
        <v>0</v>
      </c>
      <c r="DH27">
        <f t="shared" si="4"/>
        <v>0</v>
      </c>
      <c r="DI27">
        <f t="shared" si="5"/>
        <v>3747.38</v>
      </c>
      <c r="DJ27">
        <f>DI27</f>
        <v>3747.38</v>
      </c>
      <c r="DK27">
        <v>1</v>
      </c>
      <c r="DL27" t="s">
        <v>6</v>
      </c>
      <c r="DM27">
        <v>0</v>
      </c>
      <c r="DN27" t="s">
        <v>6</v>
      </c>
      <c r="DO27">
        <v>0</v>
      </c>
    </row>
    <row r="28" spans="1:119">
      <c r="A28">
        <f>ROW(Source!A136)</f>
        <v>136</v>
      </c>
      <c r="B28">
        <v>41853493</v>
      </c>
      <c r="C28">
        <v>41853898</v>
      </c>
      <c r="D28">
        <v>40676108</v>
      </c>
      <c r="E28">
        <v>108</v>
      </c>
      <c r="F28">
        <v>1</v>
      </c>
      <c r="G28">
        <v>1</v>
      </c>
      <c r="H28">
        <v>3</v>
      </c>
      <c r="I28" t="s">
        <v>28</v>
      </c>
      <c r="J28" t="s">
        <v>6</v>
      </c>
      <c r="K28" t="s">
        <v>29</v>
      </c>
      <c r="L28">
        <v>3277935</v>
      </c>
      <c r="N28">
        <v>1013</v>
      </c>
      <c r="O28" t="s">
        <v>30</v>
      </c>
      <c r="P28" t="s">
        <v>30</v>
      </c>
      <c r="Q28">
        <v>1</v>
      </c>
      <c r="W28">
        <v>0</v>
      </c>
      <c r="X28">
        <v>274903907</v>
      </c>
      <c r="Y28">
        <f t="shared" si="14"/>
        <v>2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6</v>
      </c>
      <c r="AT28">
        <v>2</v>
      </c>
      <c r="AU28" t="s">
        <v>6</v>
      </c>
      <c r="AV28">
        <v>0</v>
      </c>
      <c r="AW28">
        <v>2</v>
      </c>
      <c r="AX28">
        <v>41853900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ROUND(Y28*Source!I136,7)</f>
        <v>2.08</v>
      </c>
      <c r="CY28">
        <f>AA28</f>
        <v>0</v>
      </c>
      <c r="CZ28">
        <f>AE28</f>
        <v>0</v>
      </c>
      <c r="DA28">
        <f>AI28</f>
        <v>1</v>
      </c>
      <c r="DB28">
        <f t="shared" si="15"/>
        <v>0</v>
      </c>
      <c r="DC28">
        <f t="shared" si="16"/>
        <v>0</v>
      </c>
      <c r="DD28" t="s">
        <v>6</v>
      </c>
      <c r="DE28" t="s">
        <v>6</v>
      </c>
      <c r="DF28">
        <f t="shared" si="18"/>
        <v>0</v>
      </c>
      <c r="DG28">
        <f t="shared" si="3"/>
        <v>0</v>
      </c>
      <c r="DH28">
        <f t="shared" si="4"/>
        <v>0</v>
      </c>
      <c r="DI28">
        <f t="shared" si="5"/>
        <v>0</v>
      </c>
      <c r="DJ28">
        <f>DF28</f>
        <v>0</v>
      </c>
      <c r="DK28">
        <v>0</v>
      </c>
      <c r="DL28" t="s">
        <v>6</v>
      </c>
      <c r="DM28">
        <v>0</v>
      </c>
      <c r="DN28" t="s">
        <v>6</v>
      </c>
      <c r="DO28">
        <v>0</v>
      </c>
    </row>
    <row r="29" spans="1:119">
      <c r="A29">
        <f>ROW(Source!A237)</f>
        <v>237</v>
      </c>
      <c r="B29">
        <v>41853493</v>
      </c>
      <c r="C29">
        <v>41854047</v>
      </c>
      <c r="D29">
        <v>40669982</v>
      </c>
      <c r="E29">
        <v>108</v>
      </c>
      <c r="F29">
        <v>1</v>
      </c>
      <c r="G29">
        <v>1</v>
      </c>
      <c r="H29">
        <v>1</v>
      </c>
      <c r="I29" t="s">
        <v>319</v>
      </c>
      <c r="J29" t="s">
        <v>6</v>
      </c>
      <c r="K29" t="s">
        <v>320</v>
      </c>
      <c r="L29">
        <v>1191</v>
      </c>
      <c r="N29">
        <v>1013</v>
      </c>
      <c r="O29" t="s">
        <v>321</v>
      </c>
      <c r="P29" t="s">
        <v>321</v>
      </c>
      <c r="Q29">
        <v>1</v>
      </c>
      <c r="W29">
        <v>0</v>
      </c>
      <c r="X29">
        <v>-1936699058</v>
      </c>
      <c r="Y29">
        <f t="shared" si="14"/>
        <v>3.09</v>
      </c>
      <c r="AA29">
        <v>0</v>
      </c>
      <c r="AB29">
        <v>0</v>
      </c>
      <c r="AC29">
        <v>0</v>
      </c>
      <c r="AD29">
        <v>312.16000000000003</v>
      </c>
      <c r="AE29">
        <v>0</v>
      </c>
      <c r="AF29">
        <v>0</v>
      </c>
      <c r="AG29">
        <v>0</v>
      </c>
      <c r="AH29">
        <v>312.16000000000003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6</v>
      </c>
      <c r="AT29">
        <v>3.09</v>
      </c>
      <c r="AU29" t="s">
        <v>6</v>
      </c>
      <c r="AV29">
        <v>1</v>
      </c>
      <c r="AW29">
        <v>2</v>
      </c>
      <c r="AX29">
        <v>41854048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964.57440000000008</v>
      </c>
      <c r="BN29">
        <v>3.09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964.57440000000008</v>
      </c>
      <c r="BU29">
        <v>3.09</v>
      </c>
      <c r="BV29">
        <v>0</v>
      </c>
      <c r="BW29">
        <v>1</v>
      </c>
      <c r="CU29">
        <f>ROUND(AT29*Source!I237*AH29*AL29,2)</f>
        <v>964.57</v>
      </c>
      <c r="CV29">
        <f>ROUND(Y29*Source!I237,7)</f>
        <v>3.09</v>
      </c>
      <c r="CW29">
        <v>0</v>
      </c>
      <c r="CX29">
        <f>ROUND(Y29*Source!I237,7)</f>
        <v>3.09</v>
      </c>
      <c r="CY29">
        <f>AD29</f>
        <v>312.16000000000003</v>
      </c>
      <c r="CZ29">
        <f>AH29</f>
        <v>312.16000000000003</v>
      </c>
      <c r="DA29">
        <f>AL29</f>
        <v>1</v>
      </c>
      <c r="DB29">
        <f t="shared" si="15"/>
        <v>964.57</v>
      </c>
      <c r="DC29">
        <f t="shared" si="16"/>
        <v>0</v>
      </c>
      <c r="DD29" t="s">
        <v>6</v>
      </c>
      <c r="DE29" t="s">
        <v>6</v>
      </c>
      <c r="DF29">
        <f t="shared" si="18"/>
        <v>0</v>
      </c>
      <c r="DG29">
        <f t="shared" si="3"/>
        <v>0</v>
      </c>
      <c r="DH29">
        <f t="shared" si="4"/>
        <v>0</v>
      </c>
      <c r="DI29">
        <f t="shared" si="5"/>
        <v>964.57</v>
      </c>
      <c r="DJ29">
        <f>DI29</f>
        <v>964.57</v>
      </c>
      <c r="DK29">
        <v>1</v>
      </c>
      <c r="DL29" t="s">
        <v>6</v>
      </c>
      <c r="DM29">
        <v>0</v>
      </c>
      <c r="DN29" t="s">
        <v>6</v>
      </c>
      <c r="DO29">
        <v>0</v>
      </c>
    </row>
    <row r="30" spans="1:119">
      <c r="A30">
        <f>ROW(Source!A237)</f>
        <v>237</v>
      </c>
      <c r="B30">
        <v>41853493</v>
      </c>
      <c r="C30">
        <v>41854047</v>
      </c>
      <c r="D30">
        <v>40670210</v>
      </c>
      <c r="E30">
        <v>108</v>
      </c>
      <c r="F30">
        <v>1</v>
      </c>
      <c r="G30">
        <v>1</v>
      </c>
      <c r="H30">
        <v>1</v>
      </c>
      <c r="I30" t="s">
        <v>322</v>
      </c>
      <c r="J30" t="s">
        <v>6</v>
      </c>
      <c r="K30" t="s">
        <v>323</v>
      </c>
      <c r="L30">
        <v>1191</v>
      </c>
      <c r="N30">
        <v>1013</v>
      </c>
      <c r="O30" t="s">
        <v>321</v>
      </c>
      <c r="P30" t="s">
        <v>321</v>
      </c>
      <c r="Q30">
        <v>1</v>
      </c>
      <c r="W30">
        <v>0</v>
      </c>
      <c r="X30">
        <v>-1417349443</v>
      </c>
      <c r="Y30">
        <f t="shared" si="14"/>
        <v>0.52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6</v>
      </c>
      <c r="AT30">
        <v>0.52</v>
      </c>
      <c r="AU30" t="s">
        <v>6</v>
      </c>
      <c r="AV30">
        <v>2</v>
      </c>
      <c r="AW30">
        <v>2</v>
      </c>
      <c r="AX30">
        <v>41854049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ROUND(Y30*Source!I237,7)</f>
        <v>0.52</v>
      </c>
      <c r="CY30">
        <f>AD30</f>
        <v>0</v>
      </c>
      <c r="CZ30">
        <f>AH30</f>
        <v>0</v>
      </c>
      <c r="DA30">
        <f>AL30</f>
        <v>1</v>
      </c>
      <c r="DB30">
        <f t="shared" si="15"/>
        <v>0</v>
      </c>
      <c r="DC30">
        <f t="shared" si="16"/>
        <v>0</v>
      </c>
      <c r="DD30" t="s">
        <v>6</v>
      </c>
      <c r="DE30" t="s">
        <v>6</v>
      </c>
      <c r="DF30">
        <f t="shared" si="18"/>
        <v>0</v>
      </c>
      <c r="DG30">
        <f t="shared" si="3"/>
        <v>0</v>
      </c>
      <c r="DH30">
        <f t="shared" si="4"/>
        <v>0</v>
      </c>
      <c r="DI30">
        <f t="shared" si="5"/>
        <v>0</v>
      </c>
      <c r="DJ30">
        <f>DI30</f>
        <v>0</v>
      </c>
      <c r="DK30">
        <v>0</v>
      </c>
      <c r="DL30" t="s">
        <v>6</v>
      </c>
      <c r="DM30">
        <v>0</v>
      </c>
      <c r="DN30" t="s">
        <v>6</v>
      </c>
      <c r="DO30">
        <v>0</v>
      </c>
    </row>
    <row r="31" spans="1:119">
      <c r="A31">
        <f>ROW(Source!A237)</f>
        <v>237</v>
      </c>
      <c r="B31">
        <v>41853493</v>
      </c>
      <c r="C31">
        <v>41854047</v>
      </c>
      <c r="D31">
        <v>40987978</v>
      </c>
      <c r="E31">
        <v>1</v>
      </c>
      <c r="F31">
        <v>1</v>
      </c>
      <c r="G31">
        <v>1</v>
      </c>
      <c r="H31">
        <v>2</v>
      </c>
      <c r="I31" t="s">
        <v>324</v>
      </c>
      <c r="J31" t="s">
        <v>325</v>
      </c>
      <c r="K31" t="s">
        <v>326</v>
      </c>
      <c r="L31">
        <v>1368</v>
      </c>
      <c r="N31">
        <v>1011</v>
      </c>
      <c r="O31" t="s">
        <v>327</v>
      </c>
      <c r="P31" t="s">
        <v>327</v>
      </c>
      <c r="Q31">
        <v>1</v>
      </c>
      <c r="W31">
        <v>0</v>
      </c>
      <c r="X31">
        <v>-848025172</v>
      </c>
      <c r="Y31">
        <f t="shared" si="14"/>
        <v>0.26</v>
      </c>
      <c r="AA31">
        <v>0</v>
      </c>
      <c r="AB31">
        <v>1442.85</v>
      </c>
      <c r="AC31">
        <v>407.16</v>
      </c>
      <c r="AD31">
        <v>0</v>
      </c>
      <c r="AE31">
        <v>0</v>
      </c>
      <c r="AF31">
        <v>1442.85</v>
      </c>
      <c r="AG31">
        <v>407.16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6</v>
      </c>
      <c r="AT31">
        <v>0.26</v>
      </c>
      <c r="AU31" t="s">
        <v>6</v>
      </c>
      <c r="AV31">
        <v>1</v>
      </c>
      <c r="AW31">
        <v>2</v>
      </c>
      <c r="AX31">
        <v>41854050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375.14099999999996</v>
      </c>
      <c r="BL31">
        <v>105.86160000000001</v>
      </c>
      <c r="BM31">
        <v>0</v>
      </c>
      <c r="BN31">
        <v>0</v>
      </c>
      <c r="BO31">
        <v>0.26</v>
      </c>
      <c r="BP31">
        <v>1</v>
      </c>
      <c r="BQ31">
        <v>0</v>
      </c>
      <c r="BR31">
        <v>375.14099999999996</v>
      </c>
      <c r="BS31">
        <v>105.86160000000001</v>
      </c>
      <c r="BT31">
        <v>0</v>
      </c>
      <c r="BU31">
        <v>0</v>
      </c>
      <c r="BV31">
        <v>0.26</v>
      </c>
      <c r="BW31">
        <v>1</v>
      </c>
      <c r="CV31">
        <v>0</v>
      </c>
      <c r="CW31">
        <f>ROUND(Y31*Source!I237,7)</f>
        <v>0.26</v>
      </c>
      <c r="CX31">
        <f>ROUND(Y31*Source!I237,7)</f>
        <v>0.26</v>
      </c>
      <c r="CY31">
        <f>AB31</f>
        <v>1442.85</v>
      </c>
      <c r="CZ31">
        <f>AF31</f>
        <v>1442.85</v>
      </c>
      <c r="DA31">
        <f>AJ31</f>
        <v>1</v>
      </c>
      <c r="DB31">
        <f t="shared" si="15"/>
        <v>375.14</v>
      </c>
      <c r="DC31">
        <f t="shared" si="16"/>
        <v>105.86</v>
      </c>
      <c r="DD31" t="s">
        <v>6</v>
      </c>
      <c r="DE31" t="s">
        <v>6</v>
      </c>
      <c r="DF31">
        <f t="shared" si="18"/>
        <v>0</v>
      </c>
      <c r="DG31">
        <f t="shared" si="3"/>
        <v>375.14</v>
      </c>
      <c r="DH31">
        <f t="shared" si="4"/>
        <v>105.86</v>
      </c>
      <c r="DI31">
        <f t="shared" si="5"/>
        <v>0</v>
      </c>
      <c r="DJ31">
        <f>DG31+DH31</f>
        <v>481</v>
      </c>
      <c r="DK31">
        <v>1</v>
      </c>
      <c r="DL31" t="s">
        <v>328</v>
      </c>
      <c r="DM31">
        <v>6</v>
      </c>
      <c r="DN31" t="s">
        <v>321</v>
      </c>
      <c r="DO31">
        <v>1</v>
      </c>
    </row>
    <row r="32" spans="1:119">
      <c r="A32">
        <f>ROW(Source!A237)</f>
        <v>237</v>
      </c>
      <c r="B32">
        <v>41853493</v>
      </c>
      <c r="C32">
        <v>41854047</v>
      </c>
      <c r="D32">
        <v>40989217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327</v>
      </c>
      <c r="P32" t="s">
        <v>327</v>
      </c>
      <c r="Q32">
        <v>1</v>
      </c>
      <c r="W32">
        <v>0</v>
      </c>
      <c r="X32">
        <v>1230426758</v>
      </c>
      <c r="Y32">
        <f t="shared" si="14"/>
        <v>0.26</v>
      </c>
      <c r="AA32">
        <v>0</v>
      </c>
      <c r="AB32">
        <v>557.94000000000005</v>
      </c>
      <c r="AC32">
        <v>303.11</v>
      </c>
      <c r="AD32">
        <v>0</v>
      </c>
      <c r="AE32">
        <v>0</v>
      </c>
      <c r="AF32">
        <v>557.94000000000005</v>
      </c>
      <c r="AG32">
        <v>303.11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6</v>
      </c>
      <c r="AT32">
        <v>0.26</v>
      </c>
      <c r="AU32" t="s">
        <v>6</v>
      </c>
      <c r="AV32">
        <v>1</v>
      </c>
      <c r="AW32">
        <v>2</v>
      </c>
      <c r="AX32">
        <v>41854051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145.06440000000001</v>
      </c>
      <c r="BL32">
        <v>78.808600000000013</v>
      </c>
      <c r="BM32">
        <v>0</v>
      </c>
      <c r="BN32">
        <v>0</v>
      </c>
      <c r="BO32">
        <v>0.26</v>
      </c>
      <c r="BP32">
        <v>1</v>
      </c>
      <c r="BQ32">
        <v>0</v>
      </c>
      <c r="BR32">
        <v>145.06440000000001</v>
      </c>
      <c r="BS32">
        <v>78.808600000000013</v>
      </c>
      <c r="BT32">
        <v>0</v>
      </c>
      <c r="BU32">
        <v>0</v>
      </c>
      <c r="BV32">
        <v>0.26</v>
      </c>
      <c r="BW32">
        <v>1</v>
      </c>
      <c r="CV32">
        <v>0</v>
      </c>
      <c r="CW32">
        <f>ROUND(Y32*Source!I237,7)</f>
        <v>0.26</v>
      </c>
      <c r="CX32">
        <f>ROUND(Y32*Source!I237,7)</f>
        <v>0.26</v>
      </c>
      <c r="CY32">
        <f>AB32</f>
        <v>557.94000000000005</v>
      </c>
      <c r="CZ32">
        <f>AF32</f>
        <v>557.94000000000005</v>
      </c>
      <c r="DA32">
        <f>AJ32</f>
        <v>1</v>
      </c>
      <c r="DB32">
        <f t="shared" si="15"/>
        <v>145.06</v>
      </c>
      <c r="DC32">
        <f t="shared" si="16"/>
        <v>78.81</v>
      </c>
      <c r="DD32" t="s">
        <v>6</v>
      </c>
      <c r="DE32" t="s">
        <v>6</v>
      </c>
      <c r="DF32">
        <f t="shared" si="18"/>
        <v>0</v>
      </c>
      <c r="DG32">
        <f t="shared" si="3"/>
        <v>145.06</v>
      </c>
      <c r="DH32">
        <f t="shared" si="4"/>
        <v>78.81</v>
      </c>
      <c r="DI32">
        <f t="shared" si="5"/>
        <v>0</v>
      </c>
      <c r="DJ32">
        <f>DG32+DH32</f>
        <v>223.87</v>
      </c>
      <c r="DK32">
        <v>1</v>
      </c>
      <c r="DL32" t="s">
        <v>332</v>
      </c>
      <c r="DM32">
        <v>4</v>
      </c>
      <c r="DN32" t="s">
        <v>321</v>
      </c>
      <c r="DO32">
        <v>1</v>
      </c>
    </row>
    <row r="33" spans="1:119">
      <c r="A33">
        <f>ROW(Source!A237)</f>
        <v>237</v>
      </c>
      <c r="B33">
        <v>41853493</v>
      </c>
      <c r="C33">
        <v>41854047</v>
      </c>
      <c r="D33">
        <v>40989496</v>
      </c>
      <c r="E33">
        <v>1</v>
      </c>
      <c r="F33">
        <v>1</v>
      </c>
      <c r="G33">
        <v>1</v>
      </c>
      <c r="H33">
        <v>2</v>
      </c>
      <c r="I33" t="s">
        <v>338</v>
      </c>
      <c r="J33" t="s">
        <v>339</v>
      </c>
      <c r="K33" t="s">
        <v>340</v>
      </c>
      <c r="L33">
        <v>1368</v>
      </c>
      <c r="N33">
        <v>1011</v>
      </c>
      <c r="O33" t="s">
        <v>327</v>
      </c>
      <c r="P33" t="s">
        <v>327</v>
      </c>
      <c r="Q33">
        <v>1</v>
      </c>
      <c r="W33">
        <v>0</v>
      </c>
      <c r="X33">
        <v>1280601743</v>
      </c>
      <c r="Y33">
        <f t="shared" si="14"/>
        <v>0.99</v>
      </c>
      <c r="AA33">
        <v>0</v>
      </c>
      <c r="AB33">
        <v>17.78</v>
      </c>
      <c r="AC33">
        <v>0</v>
      </c>
      <c r="AD33">
        <v>0</v>
      </c>
      <c r="AE33">
        <v>0</v>
      </c>
      <c r="AF33">
        <v>17.78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6</v>
      </c>
      <c r="AT33">
        <v>0.99</v>
      </c>
      <c r="AU33" t="s">
        <v>6</v>
      </c>
      <c r="AV33">
        <v>1</v>
      </c>
      <c r="AW33">
        <v>2</v>
      </c>
      <c r="AX33">
        <v>41854052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17.6022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17.6022</v>
      </c>
      <c r="BS33">
        <v>0</v>
      </c>
      <c r="BT33">
        <v>0</v>
      </c>
      <c r="BU33">
        <v>0</v>
      </c>
      <c r="BV33">
        <v>0</v>
      </c>
      <c r="BW33">
        <v>1</v>
      </c>
      <c r="CV33">
        <v>0</v>
      </c>
      <c r="CW33">
        <f>ROUND(Y33*Source!I237,7)</f>
        <v>0.99</v>
      </c>
      <c r="CX33">
        <f>ROUND(Y33*Source!I237,7)</f>
        <v>0.99</v>
      </c>
      <c r="CY33">
        <f>AB33</f>
        <v>17.78</v>
      </c>
      <c r="CZ33">
        <f>AF33</f>
        <v>17.78</v>
      </c>
      <c r="DA33">
        <f>AJ33</f>
        <v>1</v>
      </c>
      <c r="DB33">
        <f t="shared" si="15"/>
        <v>17.600000000000001</v>
      </c>
      <c r="DC33">
        <f t="shared" si="16"/>
        <v>0</v>
      </c>
      <c r="DD33" t="s">
        <v>6</v>
      </c>
      <c r="DE33" t="s">
        <v>6</v>
      </c>
      <c r="DF33">
        <f t="shared" si="18"/>
        <v>0</v>
      </c>
      <c r="DG33">
        <f t="shared" ref="DG33:DG50" si="19">ROUND(ROUND(AF33,2)*CX33,2)</f>
        <v>17.600000000000001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DG33+DH33</f>
        <v>17.600000000000001</v>
      </c>
      <c r="DK33">
        <v>1</v>
      </c>
      <c r="DL33" t="s">
        <v>6</v>
      </c>
      <c r="DM33">
        <v>0</v>
      </c>
      <c r="DN33" t="s">
        <v>6</v>
      </c>
      <c r="DO33">
        <v>0</v>
      </c>
    </row>
    <row r="34" spans="1:119">
      <c r="A34">
        <f>ROW(Source!A237)</f>
        <v>237</v>
      </c>
      <c r="B34">
        <v>41853493</v>
      </c>
      <c r="C34">
        <v>41854047</v>
      </c>
      <c r="D34">
        <v>40995195</v>
      </c>
      <c r="E34">
        <v>1</v>
      </c>
      <c r="F34">
        <v>1</v>
      </c>
      <c r="G34">
        <v>1</v>
      </c>
      <c r="H34">
        <v>3</v>
      </c>
      <c r="I34" t="s">
        <v>341</v>
      </c>
      <c r="J34" t="s">
        <v>342</v>
      </c>
      <c r="K34" t="s">
        <v>343</v>
      </c>
      <c r="L34">
        <v>1346</v>
      </c>
      <c r="N34">
        <v>1009</v>
      </c>
      <c r="O34" t="s">
        <v>344</v>
      </c>
      <c r="P34" t="s">
        <v>344</v>
      </c>
      <c r="Q34">
        <v>1</v>
      </c>
      <c r="W34">
        <v>0</v>
      </c>
      <c r="X34">
        <v>-1545686836</v>
      </c>
      <c r="Y34">
        <f t="shared" si="14"/>
        <v>0.25</v>
      </c>
      <c r="AA34">
        <v>160.30000000000001</v>
      </c>
      <c r="AB34">
        <v>0</v>
      </c>
      <c r="AC34">
        <v>0</v>
      </c>
      <c r="AD34">
        <v>0</v>
      </c>
      <c r="AE34">
        <v>155.63</v>
      </c>
      <c r="AF34">
        <v>0</v>
      </c>
      <c r="AG34">
        <v>0</v>
      </c>
      <c r="AH34">
        <v>0</v>
      </c>
      <c r="AI34">
        <v>1.03</v>
      </c>
      <c r="AJ34">
        <v>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6</v>
      </c>
      <c r="AT34">
        <v>0.25</v>
      </c>
      <c r="AU34" t="s">
        <v>6</v>
      </c>
      <c r="AV34">
        <v>0</v>
      </c>
      <c r="AW34">
        <v>2</v>
      </c>
      <c r="AX34">
        <v>41854053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38.907499999999999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1</v>
      </c>
      <c r="BQ34">
        <v>38.907499999999999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1</v>
      </c>
      <c r="CV34">
        <v>0</v>
      </c>
      <c r="CW34">
        <v>0</v>
      </c>
      <c r="CX34">
        <f>ROUND(Y34*Source!I237,7)</f>
        <v>0.25</v>
      </c>
      <c r="CY34">
        <f>AA34</f>
        <v>160.30000000000001</v>
      </c>
      <c r="CZ34">
        <f>AE34</f>
        <v>155.63</v>
      </c>
      <c r="DA34">
        <f>AI34</f>
        <v>1.03</v>
      </c>
      <c r="DB34">
        <f t="shared" si="15"/>
        <v>38.909999999999997</v>
      </c>
      <c r="DC34">
        <f t="shared" si="16"/>
        <v>0</v>
      </c>
      <c r="DD34" t="s">
        <v>6</v>
      </c>
      <c r="DE34" t="s">
        <v>6</v>
      </c>
      <c r="DF34">
        <f>ROUND(ROUND(AE34*AI34,2)*CX34,2)</f>
        <v>40.08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>DF34</f>
        <v>40.08</v>
      </c>
      <c r="DK34">
        <v>0</v>
      </c>
      <c r="DL34" t="s">
        <v>6</v>
      </c>
      <c r="DM34">
        <v>0</v>
      </c>
      <c r="DN34" t="s">
        <v>6</v>
      </c>
      <c r="DO34">
        <v>0</v>
      </c>
    </row>
    <row r="35" spans="1:119">
      <c r="A35">
        <f>ROW(Source!A237)</f>
        <v>237</v>
      </c>
      <c r="B35">
        <v>41853493</v>
      </c>
      <c r="C35">
        <v>41854047</v>
      </c>
      <c r="D35">
        <v>40996264</v>
      </c>
      <c r="E35">
        <v>1</v>
      </c>
      <c r="F35">
        <v>1</v>
      </c>
      <c r="G35">
        <v>1</v>
      </c>
      <c r="H35">
        <v>3</v>
      </c>
      <c r="I35" t="s">
        <v>345</v>
      </c>
      <c r="J35" t="s">
        <v>346</v>
      </c>
      <c r="K35" t="s">
        <v>347</v>
      </c>
      <c r="L35">
        <v>1346</v>
      </c>
      <c r="N35">
        <v>1009</v>
      </c>
      <c r="O35" t="s">
        <v>344</v>
      </c>
      <c r="P35" t="s">
        <v>344</v>
      </c>
      <c r="Q35">
        <v>1</v>
      </c>
      <c r="W35">
        <v>0</v>
      </c>
      <c r="X35">
        <v>-385218612</v>
      </c>
      <c r="Y35">
        <f t="shared" si="14"/>
        <v>0.17</v>
      </c>
      <c r="AA35">
        <v>194.17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1.1100000000000001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6</v>
      </c>
      <c r="AT35">
        <v>0.17</v>
      </c>
      <c r="AU35" t="s">
        <v>6</v>
      </c>
      <c r="AV35">
        <v>0</v>
      </c>
      <c r="AW35">
        <v>2</v>
      </c>
      <c r="AX35">
        <v>41854054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29.738100000000003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29.738100000000003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1</v>
      </c>
      <c r="CV35">
        <v>0</v>
      </c>
      <c r="CW35">
        <v>0</v>
      </c>
      <c r="CX35">
        <f>ROUND(Y35*Source!I237,7)</f>
        <v>0.17</v>
      </c>
      <c r="CY35">
        <f>AA35</f>
        <v>194.17</v>
      </c>
      <c r="CZ35">
        <f>AE35</f>
        <v>174.93</v>
      </c>
      <c r="DA35">
        <f>AI35</f>
        <v>1.1100000000000001</v>
      </c>
      <c r="DB35">
        <f t="shared" si="15"/>
        <v>29.74</v>
      </c>
      <c r="DC35">
        <f t="shared" si="16"/>
        <v>0</v>
      </c>
      <c r="DD35" t="s">
        <v>6</v>
      </c>
      <c r="DE35" t="s">
        <v>6</v>
      </c>
      <c r="DF35">
        <f>ROUND(ROUND(AE35*AI35,2)*CX35,2)</f>
        <v>33.01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>DF35</f>
        <v>33.01</v>
      </c>
      <c r="DK35">
        <v>0</v>
      </c>
      <c r="DL35" t="s">
        <v>6</v>
      </c>
      <c r="DM35">
        <v>0</v>
      </c>
      <c r="DN35" t="s">
        <v>6</v>
      </c>
      <c r="DO35">
        <v>0</v>
      </c>
    </row>
    <row r="36" spans="1:119">
      <c r="A36">
        <f>ROW(Source!A237)</f>
        <v>237</v>
      </c>
      <c r="B36">
        <v>41853493</v>
      </c>
      <c r="C36">
        <v>41854047</v>
      </c>
      <c r="D36">
        <v>41004163</v>
      </c>
      <c r="E36">
        <v>1</v>
      </c>
      <c r="F36">
        <v>1</v>
      </c>
      <c r="G36">
        <v>1</v>
      </c>
      <c r="H36">
        <v>3</v>
      </c>
      <c r="I36" t="s">
        <v>358</v>
      </c>
      <c r="J36" t="s">
        <v>359</v>
      </c>
      <c r="K36" t="s">
        <v>360</v>
      </c>
      <c r="L36">
        <v>1348</v>
      </c>
      <c r="N36">
        <v>1009</v>
      </c>
      <c r="O36" t="s">
        <v>37</v>
      </c>
      <c r="P36" t="s">
        <v>37</v>
      </c>
      <c r="Q36">
        <v>1000</v>
      </c>
      <c r="W36">
        <v>0</v>
      </c>
      <c r="X36">
        <v>-1588183596</v>
      </c>
      <c r="Y36">
        <f t="shared" si="14"/>
        <v>2.5000000000000001E-2</v>
      </c>
      <c r="AA36">
        <v>116859.48</v>
      </c>
      <c r="AB36">
        <v>0</v>
      </c>
      <c r="AC36">
        <v>0</v>
      </c>
      <c r="AD36">
        <v>0</v>
      </c>
      <c r="AE36">
        <v>105278.81</v>
      </c>
      <c r="AF36">
        <v>0</v>
      </c>
      <c r="AG36">
        <v>0</v>
      </c>
      <c r="AH36">
        <v>0</v>
      </c>
      <c r="AI36">
        <v>1.1100000000000001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6</v>
      </c>
      <c r="AT36">
        <v>2.5000000000000001E-2</v>
      </c>
      <c r="AU36" t="s">
        <v>6</v>
      </c>
      <c r="AV36">
        <v>0</v>
      </c>
      <c r="AW36">
        <v>2</v>
      </c>
      <c r="AX36">
        <v>41854055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2631.9702500000003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2631.9702500000003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1</v>
      </c>
      <c r="CV36">
        <v>0</v>
      </c>
      <c r="CW36">
        <v>0</v>
      </c>
      <c r="CX36">
        <f>ROUND(Y36*Source!I237,7)</f>
        <v>2.5000000000000001E-2</v>
      </c>
      <c r="CY36">
        <f>AA36</f>
        <v>116859.48</v>
      </c>
      <c r="CZ36">
        <f>AE36</f>
        <v>105278.81</v>
      </c>
      <c r="DA36">
        <f>AI36</f>
        <v>1.1100000000000001</v>
      </c>
      <c r="DB36">
        <f t="shared" si="15"/>
        <v>2631.97</v>
      </c>
      <c r="DC36">
        <f t="shared" si="16"/>
        <v>0</v>
      </c>
      <c r="DD36" t="s">
        <v>6</v>
      </c>
      <c r="DE36" t="s">
        <v>6</v>
      </c>
      <c r="DF36">
        <f>ROUND(ROUND(AE36*AI36,2)*CX36,2)</f>
        <v>2921.49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>DF36</f>
        <v>2921.49</v>
      </c>
      <c r="DK36">
        <v>0</v>
      </c>
      <c r="DL36" t="s">
        <v>6</v>
      </c>
      <c r="DM36">
        <v>0</v>
      </c>
      <c r="DN36" t="s">
        <v>6</v>
      </c>
      <c r="DO36">
        <v>0</v>
      </c>
    </row>
    <row r="37" spans="1:119">
      <c r="A37">
        <f>ROW(Source!A237)</f>
        <v>237</v>
      </c>
      <c r="B37">
        <v>41853493</v>
      </c>
      <c r="C37">
        <v>41854047</v>
      </c>
      <c r="D37">
        <v>41024880</v>
      </c>
      <c r="E37">
        <v>1</v>
      </c>
      <c r="F37">
        <v>1</v>
      </c>
      <c r="G37">
        <v>1</v>
      </c>
      <c r="H37">
        <v>3</v>
      </c>
      <c r="I37" t="s">
        <v>363</v>
      </c>
      <c r="J37" t="s">
        <v>364</v>
      </c>
      <c r="K37" t="s">
        <v>365</v>
      </c>
      <c r="L37">
        <v>1346</v>
      </c>
      <c r="N37">
        <v>1009</v>
      </c>
      <c r="O37" t="s">
        <v>344</v>
      </c>
      <c r="P37" t="s">
        <v>344</v>
      </c>
      <c r="Q37">
        <v>1</v>
      </c>
      <c r="W37">
        <v>0</v>
      </c>
      <c r="X37">
        <v>50985725</v>
      </c>
      <c r="Y37">
        <f t="shared" si="14"/>
        <v>0.03</v>
      </c>
      <c r="AA37">
        <v>109.44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1.37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6</v>
      </c>
      <c r="AT37">
        <v>0.03</v>
      </c>
      <c r="AU37" t="s">
        <v>6</v>
      </c>
      <c r="AV37">
        <v>0</v>
      </c>
      <c r="AW37">
        <v>2</v>
      </c>
      <c r="AX37">
        <v>41854056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2.3963999999999999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2.3963999999999999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1</v>
      </c>
      <c r="CV37">
        <v>0</v>
      </c>
      <c r="CW37">
        <v>0</v>
      </c>
      <c r="CX37">
        <f>ROUND(Y37*Source!I237,7)</f>
        <v>0.03</v>
      </c>
      <c r="CY37">
        <f>AA37</f>
        <v>109.44</v>
      </c>
      <c r="CZ37">
        <f>AE37</f>
        <v>79.88</v>
      </c>
      <c r="DA37">
        <f>AI37</f>
        <v>1.37</v>
      </c>
      <c r="DB37">
        <f t="shared" si="15"/>
        <v>2.4</v>
      </c>
      <c r="DC37">
        <f t="shared" si="16"/>
        <v>0</v>
      </c>
      <c r="DD37" t="s">
        <v>6</v>
      </c>
      <c r="DE37" t="s">
        <v>6</v>
      </c>
      <c r="DF37">
        <f>ROUND(ROUND(AE37*AI37,2)*CX37,2)</f>
        <v>3.28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>DF37</f>
        <v>3.28</v>
      </c>
      <c r="DK37">
        <v>0</v>
      </c>
      <c r="DL37" t="s">
        <v>6</v>
      </c>
      <c r="DM37">
        <v>0</v>
      </c>
      <c r="DN37" t="s">
        <v>6</v>
      </c>
      <c r="DO37">
        <v>0</v>
      </c>
    </row>
    <row r="38" spans="1:119">
      <c r="A38">
        <f>ROW(Source!A237)</f>
        <v>237</v>
      </c>
      <c r="B38">
        <v>41853493</v>
      </c>
      <c r="C38">
        <v>41854047</v>
      </c>
      <c r="D38">
        <v>40676108</v>
      </c>
      <c r="E38">
        <v>108</v>
      </c>
      <c r="F38">
        <v>1</v>
      </c>
      <c r="G38">
        <v>1</v>
      </c>
      <c r="H38">
        <v>3</v>
      </c>
      <c r="I38" t="s">
        <v>28</v>
      </c>
      <c r="J38" t="s">
        <v>6</v>
      </c>
      <c r="K38" t="s">
        <v>29</v>
      </c>
      <c r="L38">
        <v>3277935</v>
      </c>
      <c r="N38">
        <v>1013</v>
      </c>
      <c r="O38" t="s">
        <v>30</v>
      </c>
      <c r="P38" t="s">
        <v>30</v>
      </c>
      <c r="Q38">
        <v>1</v>
      </c>
      <c r="W38">
        <v>0</v>
      </c>
      <c r="X38">
        <v>274903907</v>
      </c>
      <c r="Y38">
        <f t="shared" si="14"/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 t="s">
        <v>6</v>
      </c>
      <c r="AT38">
        <v>2</v>
      </c>
      <c r="AU38" t="s">
        <v>6</v>
      </c>
      <c r="AV38">
        <v>0</v>
      </c>
      <c r="AW38">
        <v>2</v>
      </c>
      <c r="AX38">
        <v>41854057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ROUND(Y38*Source!I237,7)</f>
        <v>2</v>
      </c>
      <c r="CY38">
        <f>AA38</f>
        <v>0</v>
      </c>
      <c r="CZ38">
        <f>AE38</f>
        <v>0</v>
      </c>
      <c r="DA38">
        <f>AI38</f>
        <v>1</v>
      </c>
      <c r="DB38">
        <f t="shared" si="15"/>
        <v>0</v>
      </c>
      <c r="DC38">
        <f t="shared" si="16"/>
        <v>0</v>
      </c>
      <c r="DD38" t="s">
        <v>6</v>
      </c>
      <c r="DE38" t="s">
        <v>6</v>
      </c>
      <c r="DF38">
        <f t="shared" ref="DF38:DF45" si="22">ROUND(ROUND(AE38,2)*CX38,2)</f>
        <v>0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DF38</f>
        <v>0</v>
      </c>
      <c r="DK38">
        <v>0</v>
      </c>
      <c r="DL38" t="s">
        <v>6</v>
      </c>
      <c r="DM38">
        <v>0</v>
      </c>
      <c r="DN38" t="s">
        <v>6</v>
      </c>
      <c r="DO38">
        <v>0</v>
      </c>
    </row>
    <row r="39" spans="1:119">
      <c r="A39">
        <f>ROW(Source!A239)</f>
        <v>239</v>
      </c>
      <c r="B39">
        <v>41853493</v>
      </c>
      <c r="C39">
        <v>41854059</v>
      </c>
      <c r="D39">
        <v>40670197</v>
      </c>
      <c r="E39">
        <v>108</v>
      </c>
      <c r="F39">
        <v>1</v>
      </c>
      <c r="G39">
        <v>1</v>
      </c>
      <c r="H39">
        <v>1</v>
      </c>
      <c r="I39" t="s">
        <v>366</v>
      </c>
      <c r="J39" t="s">
        <v>6</v>
      </c>
      <c r="K39" t="s">
        <v>367</v>
      </c>
      <c r="L39">
        <v>1369</v>
      </c>
      <c r="N39">
        <v>1013</v>
      </c>
      <c r="O39" t="s">
        <v>368</v>
      </c>
      <c r="P39" t="s">
        <v>368</v>
      </c>
      <c r="Q39">
        <v>1</v>
      </c>
      <c r="W39">
        <v>0</v>
      </c>
      <c r="X39">
        <v>-66267284</v>
      </c>
      <c r="Y39">
        <f t="shared" si="14"/>
        <v>16</v>
      </c>
      <c r="AA39">
        <v>0</v>
      </c>
      <c r="AB39">
        <v>0</v>
      </c>
      <c r="AC39">
        <v>0</v>
      </c>
      <c r="AD39">
        <v>486.33</v>
      </c>
      <c r="AE39">
        <v>0</v>
      </c>
      <c r="AF39">
        <v>0</v>
      </c>
      <c r="AG39">
        <v>0</v>
      </c>
      <c r="AH39">
        <v>486.33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6</v>
      </c>
      <c r="AT39">
        <v>16</v>
      </c>
      <c r="AU39" t="s">
        <v>6</v>
      </c>
      <c r="AV39">
        <v>1</v>
      </c>
      <c r="AW39">
        <v>2</v>
      </c>
      <c r="AX39">
        <v>41854060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7781.28</v>
      </c>
      <c r="BN39">
        <v>16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7781.28</v>
      </c>
      <c r="BU39">
        <v>16</v>
      </c>
      <c r="BV39">
        <v>0</v>
      </c>
      <c r="BW39">
        <v>1</v>
      </c>
      <c r="CU39">
        <f>ROUND(AT39*Source!I239*AH39*AL39,2)</f>
        <v>7781.28</v>
      </c>
      <c r="CV39">
        <f>ROUND(Y39*Source!I239,7)</f>
        <v>16</v>
      </c>
      <c r="CW39">
        <v>0</v>
      </c>
      <c r="CX39">
        <f>ROUND(Y39*Source!I239,7)</f>
        <v>16</v>
      </c>
      <c r="CY39">
        <f>AD39</f>
        <v>486.33</v>
      </c>
      <c r="CZ39">
        <f>AH39</f>
        <v>486.33</v>
      </c>
      <c r="DA39">
        <f>AL39</f>
        <v>1</v>
      </c>
      <c r="DB39">
        <f t="shared" si="15"/>
        <v>7781.28</v>
      </c>
      <c r="DC39">
        <f t="shared" si="16"/>
        <v>0</v>
      </c>
      <c r="DD39" t="s">
        <v>6</v>
      </c>
      <c r="DE39" t="s">
        <v>6</v>
      </c>
      <c r="DF39">
        <f t="shared" si="22"/>
        <v>0</v>
      </c>
      <c r="DG39">
        <f t="shared" si="19"/>
        <v>0</v>
      </c>
      <c r="DH39">
        <f t="shared" si="20"/>
        <v>0</v>
      </c>
      <c r="DI39">
        <f t="shared" si="21"/>
        <v>7781.28</v>
      </c>
      <c r="DJ39">
        <f>DI39</f>
        <v>7781.28</v>
      </c>
      <c r="DK39">
        <v>1</v>
      </c>
      <c r="DL39" t="s">
        <v>6</v>
      </c>
      <c r="DM39">
        <v>0</v>
      </c>
      <c r="DN39" t="s">
        <v>6</v>
      </c>
      <c r="DO39">
        <v>0</v>
      </c>
    </row>
    <row r="40" spans="1:119">
      <c r="A40">
        <f>ROW(Source!A239)</f>
        <v>239</v>
      </c>
      <c r="B40">
        <v>41853493</v>
      </c>
      <c r="C40">
        <v>41854059</v>
      </c>
      <c r="D40">
        <v>40670200</v>
      </c>
      <c r="E40">
        <v>108</v>
      </c>
      <c r="F40">
        <v>1</v>
      </c>
      <c r="G40">
        <v>1</v>
      </c>
      <c r="H40">
        <v>1</v>
      </c>
      <c r="I40" t="s">
        <v>369</v>
      </c>
      <c r="J40" t="s">
        <v>6</v>
      </c>
      <c r="K40" t="s">
        <v>370</v>
      </c>
      <c r="L40">
        <v>1369</v>
      </c>
      <c r="N40">
        <v>1013</v>
      </c>
      <c r="O40" t="s">
        <v>368</v>
      </c>
      <c r="P40" t="s">
        <v>368</v>
      </c>
      <c r="Q40">
        <v>1</v>
      </c>
      <c r="W40">
        <v>0</v>
      </c>
      <c r="X40">
        <v>-2140504649</v>
      </c>
      <c r="Y40">
        <f t="shared" si="14"/>
        <v>16</v>
      </c>
      <c r="AA40">
        <v>0</v>
      </c>
      <c r="AB40">
        <v>0</v>
      </c>
      <c r="AC40">
        <v>0</v>
      </c>
      <c r="AD40">
        <v>443.35</v>
      </c>
      <c r="AE40">
        <v>0</v>
      </c>
      <c r="AF40">
        <v>0</v>
      </c>
      <c r="AG40">
        <v>0</v>
      </c>
      <c r="AH40">
        <v>443.35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6</v>
      </c>
      <c r="AT40">
        <v>16</v>
      </c>
      <c r="AU40" t="s">
        <v>6</v>
      </c>
      <c r="AV40">
        <v>1</v>
      </c>
      <c r="AW40">
        <v>2</v>
      </c>
      <c r="AX40">
        <v>41854061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7093.6</v>
      </c>
      <c r="BN40">
        <v>16</v>
      </c>
      <c r="BO40">
        <v>0</v>
      </c>
      <c r="BP40">
        <v>1</v>
      </c>
      <c r="BQ40">
        <v>0</v>
      </c>
      <c r="BR40">
        <v>0</v>
      </c>
      <c r="BS40">
        <v>0</v>
      </c>
      <c r="BT40">
        <v>7093.6</v>
      </c>
      <c r="BU40">
        <v>16</v>
      </c>
      <c r="BV40">
        <v>0</v>
      </c>
      <c r="BW40">
        <v>1</v>
      </c>
      <c r="CU40">
        <f>ROUND(AT40*Source!I239*AH40*AL40,2)</f>
        <v>7093.6</v>
      </c>
      <c r="CV40">
        <f>ROUND(Y40*Source!I239,7)</f>
        <v>16</v>
      </c>
      <c r="CW40">
        <v>0</v>
      </c>
      <c r="CX40">
        <f>ROUND(Y40*Source!I239,7)</f>
        <v>16</v>
      </c>
      <c r="CY40">
        <f>AD40</f>
        <v>443.35</v>
      </c>
      <c r="CZ40">
        <f>AH40</f>
        <v>443.35</v>
      </c>
      <c r="DA40">
        <f>AL40</f>
        <v>1</v>
      </c>
      <c r="DB40">
        <f t="shared" si="15"/>
        <v>7093.6</v>
      </c>
      <c r="DC40">
        <f t="shared" si="16"/>
        <v>0</v>
      </c>
      <c r="DD40" t="s">
        <v>6</v>
      </c>
      <c r="DE40" t="s">
        <v>6</v>
      </c>
      <c r="DF40">
        <f t="shared" si="22"/>
        <v>0</v>
      </c>
      <c r="DG40">
        <f t="shared" si="19"/>
        <v>0</v>
      </c>
      <c r="DH40">
        <f t="shared" si="20"/>
        <v>0</v>
      </c>
      <c r="DI40">
        <f t="shared" si="21"/>
        <v>7093.6</v>
      </c>
      <c r="DJ40">
        <f>DI40</f>
        <v>7093.6</v>
      </c>
      <c r="DK40">
        <v>1</v>
      </c>
      <c r="DL40" t="s">
        <v>6</v>
      </c>
      <c r="DM40">
        <v>0</v>
      </c>
      <c r="DN40" t="s">
        <v>6</v>
      </c>
      <c r="DO40">
        <v>0</v>
      </c>
    </row>
    <row r="41" spans="1:119">
      <c r="A41">
        <f>ROW(Source!A239)</f>
        <v>239</v>
      </c>
      <c r="B41">
        <v>41853493</v>
      </c>
      <c r="C41">
        <v>41854059</v>
      </c>
      <c r="D41">
        <v>40676108</v>
      </c>
      <c r="E41">
        <v>108</v>
      </c>
      <c r="F41">
        <v>1</v>
      </c>
      <c r="G41">
        <v>1</v>
      </c>
      <c r="H41">
        <v>3</v>
      </c>
      <c r="I41" t="s">
        <v>28</v>
      </c>
      <c r="J41" t="s">
        <v>6</v>
      </c>
      <c r="K41" t="s">
        <v>29</v>
      </c>
      <c r="L41">
        <v>3277935</v>
      </c>
      <c r="N41">
        <v>1013</v>
      </c>
      <c r="O41" t="s">
        <v>30</v>
      </c>
      <c r="P41" t="s">
        <v>30</v>
      </c>
      <c r="Q41">
        <v>1</v>
      </c>
      <c r="W41">
        <v>0</v>
      </c>
      <c r="X41">
        <v>274903907</v>
      </c>
      <c r="Y41">
        <f t="shared" si="14"/>
        <v>2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 t="s">
        <v>6</v>
      </c>
      <c r="AT41">
        <v>2</v>
      </c>
      <c r="AU41" t="s">
        <v>6</v>
      </c>
      <c r="AV41">
        <v>0</v>
      </c>
      <c r="AW41">
        <v>2</v>
      </c>
      <c r="AX41">
        <v>41854062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ROUND(Y41*Source!I239,7)</f>
        <v>2</v>
      </c>
      <c r="CY41">
        <f>AA41</f>
        <v>0</v>
      </c>
      <c r="CZ41">
        <f>AE41</f>
        <v>0</v>
      </c>
      <c r="DA41">
        <f>AI41</f>
        <v>1</v>
      </c>
      <c r="DB41">
        <f t="shared" si="15"/>
        <v>0</v>
      </c>
      <c r="DC41">
        <f t="shared" si="16"/>
        <v>0</v>
      </c>
      <c r="DD41" t="s">
        <v>6</v>
      </c>
      <c r="DE41" t="s">
        <v>6</v>
      </c>
      <c r="DF41">
        <f t="shared" si="22"/>
        <v>0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0</v>
      </c>
      <c r="DK41">
        <v>0</v>
      </c>
      <c r="DL41" t="s">
        <v>6</v>
      </c>
      <c r="DM41">
        <v>0</v>
      </c>
      <c r="DN41" t="s">
        <v>6</v>
      </c>
      <c r="DO41">
        <v>0</v>
      </c>
    </row>
    <row r="42" spans="1:119">
      <c r="A42">
        <f>ROW(Source!A241)</f>
        <v>241</v>
      </c>
      <c r="B42">
        <v>41853493</v>
      </c>
      <c r="C42">
        <v>41854064</v>
      </c>
      <c r="D42">
        <v>40669982</v>
      </c>
      <c r="E42">
        <v>108</v>
      </c>
      <c r="F42">
        <v>1</v>
      </c>
      <c r="G42">
        <v>1</v>
      </c>
      <c r="H42">
        <v>1</v>
      </c>
      <c r="I42" t="s">
        <v>319</v>
      </c>
      <c r="J42" t="s">
        <v>6</v>
      </c>
      <c r="K42" t="s">
        <v>320</v>
      </c>
      <c r="L42">
        <v>1191</v>
      </c>
      <c r="N42">
        <v>1013</v>
      </c>
      <c r="O42" t="s">
        <v>321</v>
      </c>
      <c r="P42" t="s">
        <v>321</v>
      </c>
      <c r="Q42">
        <v>1</v>
      </c>
      <c r="W42">
        <v>0</v>
      </c>
      <c r="X42">
        <v>-1936699058</v>
      </c>
      <c r="Y42">
        <f t="shared" si="14"/>
        <v>0.7</v>
      </c>
      <c r="AA42">
        <v>0</v>
      </c>
      <c r="AB42">
        <v>0</v>
      </c>
      <c r="AC42">
        <v>0</v>
      </c>
      <c r="AD42">
        <v>312.16000000000003</v>
      </c>
      <c r="AE42">
        <v>0</v>
      </c>
      <c r="AF42">
        <v>0</v>
      </c>
      <c r="AG42">
        <v>0</v>
      </c>
      <c r="AH42">
        <v>312.16000000000003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6</v>
      </c>
      <c r="AT42">
        <v>0.7</v>
      </c>
      <c r="AU42" t="s">
        <v>6</v>
      </c>
      <c r="AV42">
        <v>1</v>
      </c>
      <c r="AW42">
        <v>2</v>
      </c>
      <c r="AX42">
        <v>41854065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218.512</v>
      </c>
      <c r="BN42">
        <v>0.7</v>
      </c>
      <c r="BO42">
        <v>0</v>
      </c>
      <c r="BP42">
        <v>1</v>
      </c>
      <c r="BQ42">
        <v>0</v>
      </c>
      <c r="BR42">
        <v>0</v>
      </c>
      <c r="BS42">
        <v>0</v>
      </c>
      <c r="BT42">
        <v>218.512</v>
      </c>
      <c r="BU42">
        <v>0.7</v>
      </c>
      <c r="BV42">
        <v>0</v>
      </c>
      <c r="BW42">
        <v>1</v>
      </c>
      <c r="CU42">
        <f>ROUND(AT42*Source!I241*AH42*AL42,2)</f>
        <v>874.05</v>
      </c>
      <c r="CV42">
        <f>ROUND(Y42*Source!I241,7)</f>
        <v>2.8</v>
      </c>
      <c r="CW42">
        <v>0</v>
      </c>
      <c r="CX42">
        <f>ROUND(Y42*Source!I241,7)</f>
        <v>2.8</v>
      </c>
      <c r="CY42">
        <f>AD42</f>
        <v>312.16000000000003</v>
      </c>
      <c r="CZ42">
        <f>AH42</f>
        <v>312.16000000000003</v>
      </c>
      <c r="DA42">
        <f>AL42</f>
        <v>1</v>
      </c>
      <c r="DB42">
        <f t="shared" si="15"/>
        <v>218.51</v>
      </c>
      <c r="DC42">
        <f t="shared" si="16"/>
        <v>0</v>
      </c>
      <c r="DD42" t="s">
        <v>6</v>
      </c>
      <c r="DE42" t="s">
        <v>6</v>
      </c>
      <c r="DF42">
        <f t="shared" si="22"/>
        <v>0</v>
      </c>
      <c r="DG42">
        <f t="shared" si="19"/>
        <v>0</v>
      </c>
      <c r="DH42">
        <f t="shared" si="20"/>
        <v>0</v>
      </c>
      <c r="DI42">
        <f t="shared" si="21"/>
        <v>874.05</v>
      </c>
      <c r="DJ42">
        <f>DI42</f>
        <v>874.05</v>
      </c>
      <c r="DK42">
        <v>1</v>
      </c>
      <c r="DL42" t="s">
        <v>6</v>
      </c>
      <c r="DM42">
        <v>0</v>
      </c>
      <c r="DN42" t="s">
        <v>6</v>
      </c>
      <c r="DO42">
        <v>0</v>
      </c>
    </row>
    <row r="43" spans="1:119">
      <c r="A43">
        <f>ROW(Source!A241)</f>
        <v>241</v>
      </c>
      <c r="B43">
        <v>41853493</v>
      </c>
      <c r="C43">
        <v>41854064</v>
      </c>
      <c r="D43">
        <v>40670210</v>
      </c>
      <c r="E43">
        <v>108</v>
      </c>
      <c r="F43">
        <v>1</v>
      </c>
      <c r="G43">
        <v>1</v>
      </c>
      <c r="H43">
        <v>1</v>
      </c>
      <c r="I43" t="s">
        <v>322</v>
      </c>
      <c r="J43" t="s">
        <v>6</v>
      </c>
      <c r="K43" t="s">
        <v>323</v>
      </c>
      <c r="L43">
        <v>1191</v>
      </c>
      <c r="N43">
        <v>1013</v>
      </c>
      <c r="O43" t="s">
        <v>321</v>
      </c>
      <c r="P43" t="s">
        <v>321</v>
      </c>
      <c r="Q43">
        <v>1</v>
      </c>
      <c r="W43">
        <v>0</v>
      </c>
      <c r="X43">
        <v>-1417349443</v>
      </c>
      <c r="Y43">
        <f t="shared" si="14"/>
        <v>0.02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6</v>
      </c>
      <c r="AT43">
        <v>0.02</v>
      </c>
      <c r="AU43" t="s">
        <v>6</v>
      </c>
      <c r="AV43">
        <v>2</v>
      </c>
      <c r="AW43">
        <v>2</v>
      </c>
      <c r="AX43">
        <v>41854066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ROUND(Y43*Source!I241,7)</f>
        <v>0.08</v>
      </c>
      <c r="CY43">
        <f>AD43</f>
        <v>0</v>
      </c>
      <c r="CZ43">
        <f>AH43</f>
        <v>0</v>
      </c>
      <c r="DA43">
        <f>AL43</f>
        <v>1</v>
      </c>
      <c r="DB43">
        <f t="shared" si="15"/>
        <v>0</v>
      </c>
      <c r="DC43">
        <f t="shared" si="16"/>
        <v>0</v>
      </c>
      <c r="DD43" t="s">
        <v>6</v>
      </c>
      <c r="DE43" t="s">
        <v>6</v>
      </c>
      <c r="DF43">
        <f t="shared" si="22"/>
        <v>0</v>
      </c>
      <c r="DG43">
        <f t="shared" si="19"/>
        <v>0</v>
      </c>
      <c r="DH43">
        <f t="shared" si="20"/>
        <v>0</v>
      </c>
      <c r="DI43">
        <f t="shared" si="21"/>
        <v>0</v>
      </c>
      <c r="DJ43">
        <f>DI43</f>
        <v>0</v>
      </c>
      <c r="DK43">
        <v>0</v>
      </c>
      <c r="DL43" t="s">
        <v>6</v>
      </c>
      <c r="DM43">
        <v>0</v>
      </c>
      <c r="DN43" t="s">
        <v>6</v>
      </c>
      <c r="DO43">
        <v>0</v>
      </c>
    </row>
    <row r="44" spans="1:119">
      <c r="A44">
        <f>ROW(Source!A241)</f>
        <v>241</v>
      </c>
      <c r="B44">
        <v>41853493</v>
      </c>
      <c r="C44">
        <v>41854064</v>
      </c>
      <c r="D44">
        <v>40987978</v>
      </c>
      <c r="E44">
        <v>1</v>
      </c>
      <c r="F44">
        <v>1</v>
      </c>
      <c r="G44">
        <v>1</v>
      </c>
      <c r="H44">
        <v>2</v>
      </c>
      <c r="I44" t="s">
        <v>324</v>
      </c>
      <c r="J44" t="s">
        <v>325</v>
      </c>
      <c r="K44" t="s">
        <v>326</v>
      </c>
      <c r="L44">
        <v>1368</v>
      </c>
      <c r="N44">
        <v>1011</v>
      </c>
      <c r="O44" t="s">
        <v>327</v>
      </c>
      <c r="P44" t="s">
        <v>327</v>
      </c>
      <c r="Q44">
        <v>1</v>
      </c>
      <c r="W44">
        <v>0</v>
      </c>
      <c r="X44">
        <v>-848025172</v>
      </c>
      <c r="Y44">
        <f t="shared" si="14"/>
        <v>0.01</v>
      </c>
      <c r="AA44">
        <v>0</v>
      </c>
      <c r="AB44">
        <v>1442.85</v>
      </c>
      <c r="AC44">
        <v>407.16</v>
      </c>
      <c r="AD44">
        <v>0</v>
      </c>
      <c r="AE44">
        <v>0</v>
      </c>
      <c r="AF44">
        <v>1442.85</v>
      </c>
      <c r="AG44">
        <v>407.16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6</v>
      </c>
      <c r="AT44">
        <v>0.01</v>
      </c>
      <c r="AU44" t="s">
        <v>6</v>
      </c>
      <c r="AV44">
        <v>1</v>
      </c>
      <c r="AW44">
        <v>2</v>
      </c>
      <c r="AX44">
        <v>41854067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14.4285</v>
      </c>
      <c r="BL44">
        <v>4.0716000000000001</v>
      </c>
      <c r="BM44">
        <v>0</v>
      </c>
      <c r="BN44">
        <v>0</v>
      </c>
      <c r="BO44">
        <v>0.01</v>
      </c>
      <c r="BP44">
        <v>1</v>
      </c>
      <c r="BQ44">
        <v>0</v>
      </c>
      <c r="BR44">
        <v>14.4285</v>
      </c>
      <c r="BS44">
        <v>4.0716000000000001</v>
      </c>
      <c r="BT44">
        <v>0</v>
      </c>
      <c r="BU44">
        <v>0</v>
      </c>
      <c r="BV44">
        <v>0.01</v>
      </c>
      <c r="BW44">
        <v>1</v>
      </c>
      <c r="CV44">
        <v>0</v>
      </c>
      <c r="CW44">
        <f>ROUND(Y44*Source!I241,7)</f>
        <v>0.04</v>
      </c>
      <c r="CX44">
        <f>ROUND(Y44*Source!I241,7)</f>
        <v>0.04</v>
      </c>
      <c r="CY44">
        <f>AB44</f>
        <v>1442.85</v>
      </c>
      <c r="CZ44">
        <f>AF44</f>
        <v>1442.85</v>
      </c>
      <c r="DA44">
        <f>AJ44</f>
        <v>1</v>
      </c>
      <c r="DB44">
        <f t="shared" si="15"/>
        <v>14.43</v>
      </c>
      <c r="DC44">
        <f t="shared" si="16"/>
        <v>4.07</v>
      </c>
      <c r="DD44" t="s">
        <v>6</v>
      </c>
      <c r="DE44" t="s">
        <v>6</v>
      </c>
      <c r="DF44">
        <f t="shared" si="22"/>
        <v>0</v>
      </c>
      <c r="DG44">
        <f t="shared" si="19"/>
        <v>57.71</v>
      </c>
      <c r="DH44">
        <f t="shared" si="20"/>
        <v>16.29</v>
      </c>
      <c r="DI44">
        <f t="shared" si="21"/>
        <v>0</v>
      </c>
      <c r="DJ44">
        <f>DG44+DH44</f>
        <v>74</v>
      </c>
      <c r="DK44">
        <v>1</v>
      </c>
      <c r="DL44" t="s">
        <v>328</v>
      </c>
      <c r="DM44">
        <v>6</v>
      </c>
      <c r="DN44" t="s">
        <v>321</v>
      </c>
      <c r="DO44">
        <v>1</v>
      </c>
    </row>
    <row r="45" spans="1:119">
      <c r="A45">
        <f>ROW(Source!A241)</f>
        <v>241</v>
      </c>
      <c r="B45">
        <v>41853493</v>
      </c>
      <c r="C45">
        <v>41854064</v>
      </c>
      <c r="D45">
        <v>40989217</v>
      </c>
      <c r="E45">
        <v>1</v>
      </c>
      <c r="F45">
        <v>1</v>
      </c>
      <c r="G45">
        <v>1</v>
      </c>
      <c r="H45">
        <v>2</v>
      </c>
      <c r="I45" t="s">
        <v>329</v>
      </c>
      <c r="J45" t="s">
        <v>330</v>
      </c>
      <c r="K45" t="s">
        <v>331</v>
      </c>
      <c r="L45">
        <v>1368</v>
      </c>
      <c r="N45">
        <v>1011</v>
      </c>
      <c r="O45" t="s">
        <v>327</v>
      </c>
      <c r="P45" t="s">
        <v>327</v>
      </c>
      <c r="Q45">
        <v>1</v>
      </c>
      <c r="W45">
        <v>0</v>
      </c>
      <c r="X45">
        <v>1230426758</v>
      </c>
      <c r="Y45">
        <f t="shared" si="14"/>
        <v>0.01</v>
      </c>
      <c r="AA45">
        <v>0</v>
      </c>
      <c r="AB45">
        <v>557.94000000000005</v>
      </c>
      <c r="AC45">
        <v>303.11</v>
      </c>
      <c r="AD45">
        <v>0</v>
      </c>
      <c r="AE45">
        <v>0</v>
      </c>
      <c r="AF45">
        <v>557.94000000000005</v>
      </c>
      <c r="AG45">
        <v>303.11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6</v>
      </c>
      <c r="AT45">
        <v>0.01</v>
      </c>
      <c r="AU45" t="s">
        <v>6</v>
      </c>
      <c r="AV45">
        <v>1</v>
      </c>
      <c r="AW45">
        <v>2</v>
      </c>
      <c r="AX45">
        <v>41854068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5.5794000000000006</v>
      </c>
      <c r="BL45">
        <v>3.0311000000000003</v>
      </c>
      <c r="BM45">
        <v>0</v>
      </c>
      <c r="BN45">
        <v>0</v>
      </c>
      <c r="BO45">
        <v>0.01</v>
      </c>
      <c r="BP45">
        <v>1</v>
      </c>
      <c r="BQ45">
        <v>0</v>
      </c>
      <c r="BR45">
        <v>5.5794000000000006</v>
      </c>
      <c r="BS45">
        <v>3.0311000000000003</v>
      </c>
      <c r="BT45">
        <v>0</v>
      </c>
      <c r="BU45">
        <v>0</v>
      </c>
      <c r="BV45">
        <v>0.01</v>
      </c>
      <c r="BW45">
        <v>1</v>
      </c>
      <c r="CV45">
        <v>0</v>
      </c>
      <c r="CW45">
        <f>ROUND(Y45*Source!I241,7)</f>
        <v>0.04</v>
      </c>
      <c r="CX45">
        <f>ROUND(Y45*Source!I241,7)</f>
        <v>0.04</v>
      </c>
      <c r="CY45">
        <f>AB45</f>
        <v>557.94000000000005</v>
      </c>
      <c r="CZ45">
        <f>AF45</f>
        <v>557.94000000000005</v>
      </c>
      <c r="DA45">
        <f>AJ45</f>
        <v>1</v>
      </c>
      <c r="DB45">
        <f t="shared" si="15"/>
        <v>5.58</v>
      </c>
      <c r="DC45">
        <f t="shared" si="16"/>
        <v>3.03</v>
      </c>
      <c r="DD45" t="s">
        <v>6</v>
      </c>
      <c r="DE45" t="s">
        <v>6</v>
      </c>
      <c r="DF45">
        <f t="shared" si="22"/>
        <v>0</v>
      </c>
      <c r="DG45">
        <f t="shared" si="19"/>
        <v>22.32</v>
      </c>
      <c r="DH45">
        <f t="shared" si="20"/>
        <v>12.12</v>
      </c>
      <c r="DI45">
        <f t="shared" si="21"/>
        <v>0</v>
      </c>
      <c r="DJ45">
        <f>DG45+DH45</f>
        <v>34.44</v>
      </c>
      <c r="DK45">
        <v>1</v>
      </c>
      <c r="DL45" t="s">
        <v>332</v>
      </c>
      <c r="DM45">
        <v>4</v>
      </c>
      <c r="DN45" t="s">
        <v>321</v>
      </c>
      <c r="DO45">
        <v>1</v>
      </c>
    </row>
    <row r="46" spans="1:119">
      <c r="A46">
        <f>ROW(Source!A241)</f>
        <v>241</v>
      </c>
      <c r="B46">
        <v>41853493</v>
      </c>
      <c r="C46">
        <v>41854064</v>
      </c>
      <c r="D46">
        <v>40996271</v>
      </c>
      <c r="E46">
        <v>1</v>
      </c>
      <c r="F46">
        <v>1</v>
      </c>
      <c r="G46">
        <v>1</v>
      </c>
      <c r="H46">
        <v>3</v>
      </c>
      <c r="I46" t="s">
        <v>333</v>
      </c>
      <c r="J46" t="s">
        <v>334</v>
      </c>
      <c r="K46" t="s">
        <v>335</v>
      </c>
      <c r="L46">
        <v>1348</v>
      </c>
      <c r="N46">
        <v>1009</v>
      </c>
      <c r="O46" t="s">
        <v>37</v>
      </c>
      <c r="P46" t="s">
        <v>37</v>
      </c>
      <c r="Q46">
        <v>1000</v>
      </c>
      <c r="W46">
        <v>0</v>
      </c>
      <c r="X46">
        <v>1683435163</v>
      </c>
      <c r="Y46">
        <f t="shared" si="14"/>
        <v>3.0000000000000001E-5</v>
      </c>
      <c r="AA46">
        <v>147790.96</v>
      </c>
      <c r="AB46">
        <v>0</v>
      </c>
      <c r="AC46">
        <v>0</v>
      </c>
      <c r="AD46">
        <v>0</v>
      </c>
      <c r="AE46">
        <v>127406</v>
      </c>
      <c r="AF46">
        <v>0</v>
      </c>
      <c r="AG46">
        <v>0</v>
      </c>
      <c r="AH46">
        <v>0</v>
      </c>
      <c r="AI46">
        <v>1.1599999999999999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6</v>
      </c>
      <c r="AT46">
        <v>3.0000000000000001E-5</v>
      </c>
      <c r="AU46" t="s">
        <v>6</v>
      </c>
      <c r="AV46">
        <v>0</v>
      </c>
      <c r="AW46">
        <v>2</v>
      </c>
      <c r="AX46">
        <v>41854069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3.8221799999999999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3.8221799999999999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ROUND(Y46*Source!I241,7)</f>
        <v>1.2E-4</v>
      </c>
      <c r="CY46">
        <f>AA46</f>
        <v>147790.96</v>
      </c>
      <c r="CZ46">
        <f>AE46</f>
        <v>127406</v>
      </c>
      <c r="DA46">
        <f>AI46</f>
        <v>1.1599999999999999</v>
      </c>
      <c r="DB46">
        <f t="shared" si="15"/>
        <v>3.82</v>
      </c>
      <c r="DC46">
        <f t="shared" si="16"/>
        <v>0</v>
      </c>
      <c r="DD46" t="s">
        <v>6</v>
      </c>
      <c r="DE46" t="s">
        <v>6</v>
      </c>
      <c r="DF46">
        <f>ROUND(ROUND(AE46*AI46,2)*CX46,2)</f>
        <v>17.73</v>
      </c>
      <c r="DG46">
        <f t="shared" si="19"/>
        <v>0</v>
      </c>
      <c r="DH46">
        <f t="shared" si="20"/>
        <v>0</v>
      </c>
      <c r="DI46">
        <f t="shared" si="21"/>
        <v>0</v>
      </c>
      <c r="DJ46">
        <f>DF46</f>
        <v>17.73</v>
      </c>
      <c r="DK46">
        <v>0</v>
      </c>
      <c r="DL46" t="s">
        <v>6</v>
      </c>
      <c r="DM46">
        <v>0</v>
      </c>
      <c r="DN46" t="s">
        <v>6</v>
      </c>
      <c r="DO46">
        <v>0</v>
      </c>
    </row>
    <row r="47" spans="1:119">
      <c r="A47">
        <f>ROW(Source!A241)</f>
        <v>241</v>
      </c>
      <c r="B47">
        <v>41853493</v>
      </c>
      <c r="C47">
        <v>41854064</v>
      </c>
      <c r="D47">
        <v>40676108</v>
      </c>
      <c r="E47">
        <v>108</v>
      </c>
      <c r="F47">
        <v>1</v>
      </c>
      <c r="G47">
        <v>1</v>
      </c>
      <c r="H47">
        <v>3</v>
      </c>
      <c r="I47" t="s">
        <v>28</v>
      </c>
      <c r="J47" t="s">
        <v>6</v>
      </c>
      <c r="K47" t="s">
        <v>29</v>
      </c>
      <c r="L47">
        <v>3277935</v>
      </c>
      <c r="N47">
        <v>1013</v>
      </c>
      <c r="O47" t="s">
        <v>30</v>
      </c>
      <c r="P47" t="s">
        <v>30</v>
      </c>
      <c r="Q47">
        <v>1</v>
      </c>
      <c r="W47">
        <v>0</v>
      </c>
      <c r="X47">
        <v>274903907</v>
      </c>
      <c r="Y47">
        <f t="shared" si="14"/>
        <v>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6</v>
      </c>
      <c r="AT47">
        <v>2</v>
      </c>
      <c r="AU47" t="s">
        <v>6</v>
      </c>
      <c r="AV47">
        <v>0</v>
      </c>
      <c r="AW47">
        <v>2</v>
      </c>
      <c r="AX47">
        <v>41854070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ROUND(Y47*Source!I241,7)</f>
        <v>8</v>
      </c>
      <c r="CY47">
        <f>AA47</f>
        <v>0</v>
      </c>
      <c r="CZ47">
        <f>AE47</f>
        <v>0</v>
      </c>
      <c r="DA47">
        <f>AI47</f>
        <v>1</v>
      </c>
      <c r="DB47">
        <f t="shared" si="15"/>
        <v>0</v>
      </c>
      <c r="DC47">
        <f t="shared" si="16"/>
        <v>0</v>
      </c>
      <c r="DD47" t="s">
        <v>6</v>
      </c>
      <c r="DE47" t="s">
        <v>6</v>
      </c>
      <c r="DF47">
        <f t="shared" ref="DF47:DF52" si="23">ROUND(ROUND(AE47,2)*CX47,2)</f>
        <v>0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>DF47</f>
        <v>0</v>
      </c>
      <c r="DK47">
        <v>0</v>
      </c>
      <c r="DL47" t="s">
        <v>6</v>
      </c>
      <c r="DM47">
        <v>0</v>
      </c>
      <c r="DN47" t="s">
        <v>6</v>
      </c>
      <c r="DO47">
        <v>0</v>
      </c>
    </row>
    <row r="48" spans="1:119">
      <c r="A48">
        <f>ROW(Source!A243)</f>
        <v>243</v>
      </c>
      <c r="B48">
        <v>41853493</v>
      </c>
      <c r="C48">
        <v>41854072</v>
      </c>
      <c r="D48">
        <v>40669976</v>
      </c>
      <c r="E48">
        <v>108</v>
      </c>
      <c r="F48">
        <v>1</v>
      </c>
      <c r="G48">
        <v>1</v>
      </c>
      <c r="H48">
        <v>1</v>
      </c>
      <c r="I48" t="s">
        <v>336</v>
      </c>
      <c r="J48" t="s">
        <v>6</v>
      </c>
      <c r="K48" t="s">
        <v>337</v>
      </c>
      <c r="L48">
        <v>1191</v>
      </c>
      <c r="N48">
        <v>1013</v>
      </c>
      <c r="O48" t="s">
        <v>321</v>
      </c>
      <c r="P48" t="s">
        <v>321</v>
      </c>
      <c r="Q48">
        <v>1</v>
      </c>
      <c r="W48">
        <v>0</v>
      </c>
      <c r="X48">
        <v>-1111239348</v>
      </c>
      <c r="Y48">
        <f t="shared" si="14"/>
        <v>2.15</v>
      </c>
      <c r="AA48">
        <v>0</v>
      </c>
      <c r="AB48">
        <v>0</v>
      </c>
      <c r="AC48">
        <v>0</v>
      </c>
      <c r="AD48">
        <v>303.11</v>
      </c>
      <c r="AE48">
        <v>0</v>
      </c>
      <c r="AF48">
        <v>0</v>
      </c>
      <c r="AG48">
        <v>0</v>
      </c>
      <c r="AH48">
        <v>303.11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6</v>
      </c>
      <c r="AT48">
        <v>2.15</v>
      </c>
      <c r="AU48" t="s">
        <v>6</v>
      </c>
      <c r="AV48">
        <v>1</v>
      </c>
      <c r="AW48">
        <v>2</v>
      </c>
      <c r="AX48">
        <v>41854073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651.68650000000002</v>
      </c>
      <c r="BN48">
        <v>2.15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651.68650000000002</v>
      </c>
      <c r="BU48">
        <v>2.15</v>
      </c>
      <c r="BV48">
        <v>0</v>
      </c>
      <c r="BW48">
        <v>1</v>
      </c>
      <c r="CU48">
        <f>ROUND(AT48*Source!I243*AH48*AL48,2)</f>
        <v>7820.24</v>
      </c>
      <c r="CV48">
        <f>ROUND(Y48*Source!I243,7)</f>
        <v>25.8</v>
      </c>
      <c r="CW48">
        <v>0</v>
      </c>
      <c r="CX48">
        <f>ROUND(Y48*Source!I243,7)</f>
        <v>25.8</v>
      </c>
      <c r="CY48">
        <f>AD48</f>
        <v>303.11</v>
      </c>
      <c r="CZ48">
        <f>AH48</f>
        <v>303.11</v>
      </c>
      <c r="DA48">
        <f>AL48</f>
        <v>1</v>
      </c>
      <c r="DB48">
        <f t="shared" si="15"/>
        <v>651.69000000000005</v>
      </c>
      <c r="DC48">
        <f t="shared" si="16"/>
        <v>0</v>
      </c>
      <c r="DD48" t="s">
        <v>6</v>
      </c>
      <c r="DE48" t="s">
        <v>6</v>
      </c>
      <c r="DF48">
        <f t="shared" si="23"/>
        <v>0</v>
      </c>
      <c r="DG48">
        <f t="shared" si="19"/>
        <v>0</v>
      </c>
      <c r="DH48">
        <f t="shared" si="20"/>
        <v>0</v>
      </c>
      <c r="DI48">
        <f t="shared" si="21"/>
        <v>7820.24</v>
      </c>
      <c r="DJ48">
        <f>DI48</f>
        <v>7820.24</v>
      </c>
      <c r="DK48">
        <v>1</v>
      </c>
      <c r="DL48" t="s">
        <v>6</v>
      </c>
      <c r="DM48">
        <v>0</v>
      </c>
      <c r="DN48" t="s">
        <v>6</v>
      </c>
      <c r="DO48">
        <v>0</v>
      </c>
    </row>
    <row r="49" spans="1:119">
      <c r="A49">
        <f>ROW(Source!A243)</f>
        <v>243</v>
      </c>
      <c r="B49">
        <v>41853493</v>
      </c>
      <c r="C49">
        <v>41854072</v>
      </c>
      <c r="D49">
        <v>40670210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6</v>
      </c>
      <c r="K49" t="s">
        <v>323</v>
      </c>
      <c r="L49">
        <v>1191</v>
      </c>
      <c r="N49">
        <v>1013</v>
      </c>
      <c r="O49" t="s">
        <v>321</v>
      </c>
      <c r="P49" t="s">
        <v>321</v>
      </c>
      <c r="Q49">
        <v>1</v>
      </c>
      <c r="W49">
        <v>0</v>
      </c>
      <c r="X49">
        <v>-1417349443</v>
      </c>
      <c r="Y49">
        <f t="shared" si="14"/>
        <v>0.09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6</v>
      </c>
      <c r="AT49">
        <v>0.09</v>
      </c>
      <c r="AU49" t="s">
        <v>6</v>
      </c>
      <c r="AV49">
        <v>2</v>
      </c>
      <c r="AW49">
        <v>2</v>
      </c>
      <c r="AX49">
        <v>41854074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ROUND(Y49*Source!I243,7)</f>
        <v>1.08</v>
      </c>
      <c r="CY49">
        <f>AD49</f>
        <v>0</v>
      </c>
      <c r="CZ49">
        <f>AH49</f>
        <v>0</v>
      </c>
      <c r="DA49">
        <f>AL49</f>
        <v>1</v>
      </c>
      <c r="DB49">
        <f t="shared" si="15"/>
        <v>0</v>
      </c>
      <c r="DC49">
        <f t="shared" si="16"/>
        <v>0</v>
      </c>
      <c r="DD49" t="s">
        <v>6</v>
      </c>
      <c r="DE49" t="s">
        <v>6</v>
      </c>
      <c r="DF49">
        <f t="shared" si="23"/>
        <v>0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>DI49</f>
        <v>0</v>
      </c>
      <c r="DK49">
        <v>0</v>
      </c>
      <c r="DL49" t="s">
        <v>6</v>
      </c>
      <c r="DM49">
        <v>0</v>
      </c>
      <c r="DN49" t="s">
        <v>6</v>
      </c>
      <c r="DO49">
        <v>0</v>
      </c>
    </row>
    <row r="50" spans="1:119">
      <c r="A50">
        <f>ROW(Source!A243)</f>
        <v>243</v>
      </c>
      <c r="B50">
        <v>41853493</v>
      </c>
      <c r="C50">
        <v>41854072</v>
      </c>
      <c r="D50">
        <v>40987978</v>
      </c>
      <c r="E50">
        <v>1</v>
      </c>
      <c r="F50">
        <v>1</v>
      </c>
      <c r="G50">
        <v>1</v>
      </c>
      <c r="H50">
        <v>2</v>
      </c>
      <c r="I50" t="s">
        <v>324</v>
      </c>
      <c r="J50" t="s">
        <v>325</v>
      </c>
      <c r="K50" t="s">
        <v>326</v>
      </c>
      <c r="L50">
        <v>1368</v>
      </c>
      <c r="N50">
        <v>1011</v>
      </c>
      <c r="O50" t="s">
        <v>327</v>
      </c>
      <c r="P50" t="s">
        <v>327</v>
      </c>
      <c r="Q50">
        <v>1</v>
      </c>
      <c r="W50">
        <v>0</v>
      </c>
      <c r="X50">
        <v>-848025172</v>
      </c>
      <c r="Y50">
        <f t="shared" ref="Y50:Y81" si="24">AT50</f>
        <v>3.5000000000000003E-2</v>
      </c>
      <c r="AA50">
        <v>0</v>
      </c>
      <c r="AB50">
        <v>1442.85</v>
      </c>
      <c r="AC50">
        <v>407.16</v>
      </c>
      <c r="AD50">
        <v>0</v>
      </c>
      <c r="AE50">
        <v>0</v>
      </c>
      <c r="AF50">
        <v>1442.85</v>
      </c>
      <c r="AG50">
        <v>407.16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6</v>
      </c>
      <c r="AT50">
        <v>3.5000000000000003E-2</v>
      </c>
      <c r="AU50" t="s">
        <v>6</v>
      </c>
      <c r="AV50">
        <v>1</v>
      </c>
      <c r="AW50">
        <v>2</v>
      </c>
      <c r="AX50">
        <v>41854075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50.499749999999999</v>
      </c>
      <c r="BL50">
        <v>14.250600000000002</v>
      </c>
      <c r="BM50">
        <v>0</v>
      </c>
      <c r="BN50">
        <v>0</v>
      </c>
      <c r="BO50">
        <v>3.5000000000000003E-2</v>
      </c>
      <c r="BP50">
        <v>1</v>
      </c>
      <c r="BQ50">
        <v>0</v>
      </c>
      <c r="BR50">
        <v>50.499749999999999</v>
      </c>
      <c r="BS50">
        <v>14.250600000000002</v>
      </c>
      <c r="BT50">
        <v>0</v>
      </c>
      <c r="BU50">
        <v>0</v>
      </c>
      <c r="BV50">
        <v>3.5000000000000003E-2</v>
      </c>
      <c r="BW50">
        <v>1</v>
      </c>
      <c r="CV50">
        <v>0</v>
      </c>
      <c r="CW50">
        <f>ROUND(Y50*Source!I243,7)</f>
        <v>0.42</v>
      </c>
      <c r="CX50">
        <f>ROUND(Y50*Source!I243,7)</f>
        <v>0.42</v>
      </c>
      <c r="CY50">
        <f>AB50</f>
        <v>1442.85</v>
      </c>
      <c r="CZ50">
        <f>AF50</f>
        <v>1442.85</v>
      </c>
      <c r="DA50">
        <f>AJ50</f>
        <v>1</v>
      </c>
      <c r="DB50">
        <f t="shared" ref="DB50:DB81" si="25">ROUND(ROUND(AT50*CZ50,2),2)</f>
        <v>50.5</v>
      </c>
      <c r="DC50">
        <f t="shared" ref="DC50:DC81" si="26">ROUND(ROUND(AT50*AG50,2),2)</f>
        <v>14.25</v>
      </c>
      <c r="DD50" t="s">
        <v>6</v>
      </c>
      <c r="DE50" t="s">
        <v>6</v>
      </c>
      <c r="DF50">
        <f t="shared" si="23"/>
        <v>0</v>
      </c>
      <c r="DG50">
        <f t="shared" si="19"/>
        <v>606</v>
      </c>
      <c r="DH50">
        <f t="shared" si="20"/>
        <v>171.01</v>
      </c>
      <c r="DI50">
        <f t="shared" si="21"/>
        <v>0</v>
      </c>
      <c r="DJ50">
        <f>DG50+DH50</f>
        <v>777.01</v>
      </c>
      <c r="DK50">
        <v>1</v>
      </c>
      <c r="DL50" t="s">
        <v>328</v>
      </c>
      <c r="DM50">
        <v>6</v>
      </c>
      <c r="DN50" t="s">
        <v>321</v>
      </c>
      <c r="DO50">
        <v>1</v>
      </c>
    </row>
    <row r="51" spans="1:119">
      <c r="A51">
        <f>ROW(Source!A243)</f>
        <v>243</v>
      </c>
      <c r="B51">
        <v>41853493</v>
      </c>
      <c r="C51">
        <v>41854072</v>
      </c>
      <c r="D51">
        <v>40988168</v>
      </c>
      <c r="E51">
        <v>1</v>
      </c>
      <c r="F51">
        <v>1</v>
      </c>
      <c r="G51">
        <v>1</v>
      </c>
      <c r="H51">
        <v>2</v>
      </c>
      <c r="I51" t="s">
        <v>371</v>
      </c>
      <c r="J51" t="s">
        <v>372</v>
      </c>
      <c r="K51" t="s">
        <v>373</v>
      </c>
      <c r="L51">
        <v>1368</v>
      </c>
      <c r="N51">
        <v>1011</v>
      </c>
      <c r="O51" t="s">
        <v>327</v>
      </c>
      <c r="P51" t="s">
        <v>327</v>
      </c>
      <c r="Q51">
        <v>1</v>
      </c>
      <c r="W51">
        <v>0</v>
      </c>
      <c r="X51">
        <v>927517157</v>
      </c>
      <c r="Y51">
        <f t="shared" si="24"/>
        <v>0.02</v>
      </c>
      <c r="AA51">
        <v>0</v>
      </c>
      <c r="AB51">
        <v>71.959999999999994</v>
      </c>
      <c r="AC51">
        <v>269.18</v>
      </c>
      <c r="AD51">
        <v>0</v>
      </c>
      <c r="AE51">
        <v>0</v>
      </c>
      <c r="AF51">
        <v>55.78</v>
      </c>
      <c r="AG51">
        <v>269.18</v>
      </c>
      <c r="AH51">
        <v>0</v>
      </c>
      <c r="AI51">
        <v>1</v>
      </c>
      <c r="AJ51">
        <v>1.29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6</v>
      </c>
      <c r="AT51">
        <v>0.02</v>
      </c>
      <c r="AU51" t="s">
        <v>6</v>
      </c>
      <c r="AV51">
        <v>1</v>
      </c>
      <c r="AW51">
        <v>2</v>
      </c>
      <c r="AX51">
        <v>41854076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1.1156000000000001</v>
      </c>
      <c r="BL51">
        <v>5.3836000000000004</v>
      </c>
      <c r="BM51">
        <v>0</v>
      </c>
      <c r="BN51">
        <v>0</v>
      </c>
      <c r="BO51">
        <v>0.02</v>
      </c>
      <c r="BP51">
        <v>1</v>
      </c>
      <c r="BQ51">
        <v>0</v>
      </c>
      <c r="BR51">
        <v>1.1156000000000001</v>
      </c>
      <c r="BS51">
        <v>5.3836000000000004</v>
      </c>
      <c r="BT51">
        <v>0</v>
      </c>
      <c r="BU51">
        <v>0</v>
      </c>
      <c r="BV51">
        <v>0.02</v>
      </c>
      <c r="BW51">
        <v>1</v>
      </c>
      <c r="CV51">
        <v>0</v>
      </c>
      <c r="CW51">
        <f>ROUND(Y51*Source!I243,7)</f>
        <v>0.24</v>
      </c>
      <c r="CX51">
        <f>ROUND(Y51*Source!I243,7)</f>
        <v>0.24</v>
      </c>
      <c r="CY51">
        <f>AB51</f>
        <v>71.959999999999994</v>
      </c>
      <c r="CZ51">
        <f>AF51</f>
        <v>55.78</v>
      </c>
      <c r="DA51">
        <f>AJ51</f>
        <v>1.29</v>
      </c>
      <c r="DB51">
        <f t="shared" si="25"/>
        <v>1.1200000000000001</v>
      </c>
      <c r="DC51">
        <f t="shared" si="26"/>
        <v>5.38</v>
      </c>
      <c r="DD51" t="s">
        <v>6</v>
      </c>
      <c r="DE51" t="s">
        <v>6</v>
      </c>
      <c r="DF51">
        <f t="shared" si="23"/>
        <v>0</v>
      </c>
      <c r="DG51">
        <f>ROUND(ROUND(AF51*AJ51,2)*CX51,2)</f>
        <v>17.27</v>
      </c>
      <c r="DH51">
        <f t="shared" si="20"/>
        <v>64.599999999999994</v>
      </c>
      <c r="DI51">
        <f t="shared" si="21"/>
        <v>0</v>
      </c>
      <c r="DJ51">
        <f>DG51+DH51</f>
        <v>81.86999999999999</v>
      </c>
      <c r="DK51">
        <v>1</v>
      </c>
      <c r="DL51" t="s">
        <v>374</v>
      </c>
      <c r="DM51">
        <v>3</v>
      </c>
      <c r="DN51" t="s">
        <v>321</v>
      </c>
      <c r="DO51">
        <v>1</v>
      </c>
    </row>
    <row r="52" spans="1:119">
      <c r="A52">
        <f>ROW(Source!A243)</f>
        <v>243</v>
      </c>
      <c r="B52">
        <v>41853493</v>
      </c>
      <c r="C52">
        <v>41854072</v>
      </c>
      <c r="D52">
        <v>40989217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1368</v>
      </c>
      <c r="N52">
        <v>1011</v>
      </c>
      <c r="O52" t="s">
        <v>327</v>
      </c>
      <c r="P52" t="s">
        <v>327</v>
      </c>
      <c r="Q52">
        <v>1</v>
      </c>
      <c r="W52">
        <v>0</v>
      </c>
      <c r="X52">
        <v>1230426758</v>
      </c>
      <c r="Y52">
        <f t="shared" si="24"/>
        <v>3.5000000000000003E-2</v>
      </c>
      <c r="AA52">
        <v>0</v>
      </c>
      <c r="AB52">
        <v>557.94000000000005</v>
      </c>
      <c r="AC52">
        <v>303.11</v>
      </c>
      <c r="AD52">
        <v>0</v>
      </c>
      <c r="AE52">
        <v>0</v>
      </c>
      <c r="AF52">
        <v>557.94000000000005</v>
      </c>
      <c r="AG52">
        <v>303.11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6</v>
      </c>
      <c r="AT52">
        <v>3.5000000000000003E-2</v>
      </c>
      <c r="AU52" t="s">
        <v>6</v>
      </c>
      <c r="AV52">
        <v>1</v>
      </c>
      <c r="AW52">
        <v>2</v>
      </c>
      <c r="AX52">
        <v>41854077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19.527900000000002</v>
      </c>
      <c r="BL52">
        <v>10.608850000000002</v>
      </c>
      <c r="BM52">
        <v>0</v>
      </c>
      <c r="BN52">
        <v>0</v>
      </c>
      <c r="BO52">
        <v>3.5000000000000003E-2</v>
      </c>
      <c r="BP52">
        <v>1</v>
      </c>
      <c r="BQ52">
        <v>0</v>
      </c>
      <c r="BR52">
        <v>19.527900000000002</v>
      </c>
      <c r="BS52">
        <v>10.608850000000002</v>
      </c>
      <c r="BT52">
        <v>0</v>
      </c>
      <c r="BU52">
        <v>0</v>
      </c>
      <c r="BV52">
        <v>3.5000000000000003E-2</v>
      </c>
      <c r="BW52">
        <v>1</v>
      </c>
      <c r="CV52">
        <v>0</v>
      </c>
      <c r="CW52">
        <f>ROUND(Y52*Source!I243,7)</f>
        <v>0.42</v>
      </c>
      <c r="CX52">
        <f>ROUND(Y52*Source!I243,7)</f>
        <v>0.42</v>
      </c>
      <c r="CY52">
        <f>AB52</f>
        <v>557.94000000000005</v>
      </c>
      <c r="CZ52">
        <f>AF52</f>
        <v>557.94000000000005</v>
      </c>
      <c r="DA52">
        <f>AJ52</f>
        <v>1</v>
      </c>
      <c r="DB52">
        <f t="shared" si="25"/>
        <v>19.53</v>
      </c>
      <c r="DC52">
        <f t="shared" si="26"/>
        <v>10.61</v>
      </c>
      <c r="DD52" t="s">
        <v>6</v>
      </c>
      <c r="DE52" t="s">
        <v>6</v>
      </c>
      <c r="DF52">
        <f t="shared" si="23"/>
        <v>0</v>
      </c>
      <c r="DG52">
        <f t="shared" ref="DG52:DG96" si="27">ROUND(ROUND(AF52,2)*CX52,2)</f>
        <v>234.33</v>
      </c>
      <c r="DH52">
        <f t="shared" si="20"/>
        <v>127.31</v>
      </c>
      <c r="DI52">
        <f t="shared" si="21"/>
        <v>0</v>
      </c>
      <c r="DJ52">
        <f>DG52+DH52</f>
        <v>361.64</v>
      </c>
      <c r="DK52">
        <v>1</v>
      </c>
      <c r="DL52" t="s">
        <v>332</v>
      </c>
      <c r="DM52">
        <v>4</v>
      </c>
      <c r="DN52" t="s">
        <v>321</v>
      </c>
      <c r="DO52">
        <v>1</v>
      </c>
    </row>
    <row r="53" spans="1:119">
      <c r="A53">
        <f>ROW(Source!A243)</f>
        <v>243</v>
      </c>
      <c r="B53">
        <v>41853493</v>
      </c>
      <c r="C53">
        <v>41854072</v>
      </c>
      <c r="D53">
        <v>40996264</v>
      </c>
      <c r="E53">
        <v>1</v>
      </c>
      <c r="F53">
        <v>1</v>
      </c>
      <c r="G53">
        <v>1</v>
      </c>
      <c r="H53">
        <v>3</v>
      </c>
      <c r="I53" t="s">
        <v>345</v>
      </c>
      <c r="J53" t="s">
        <v>346</v>
      </c>
      <c r="K53" t="s">
        <v>347</v>
      </c>
      <c r="L53">
        <v>1346</v>
      </c>
      <c r="N53">
        <v>1009</v>
      </c>
      <c r="O53" t="s">
        <v>344</v>
      </c>
      <c r="P53" t="s">
        <v>344</v>
      </c>
      <c r="Q53">
        <v>1</v>
      </c>
      <c r="W53">
        <v>0</v>
      </c>
      <c r="X53">
        <v>-385218612</v>
      </c>
      <c r="Y53">
        <f t="shared" si="24"/>
        <v>0.39</v>
      </c>
      <c r="AA53">
        <v>194.17</v>
      </c>
      <c r="AB53">
        <v>0</v>
      </c>
      <c r="AC53">
        <v>0</v>
      </c>
      <c r="AD53">
        <v>0</v>
      </c>
      <c r="AE53">
        <v>174.93</v>
      </c>
      <c r="AF53">
        <v>0</v>
      </c>
      <c r="AG53">
        <v>0</v>
      </c>
      <c r="AH53">
        <v>0</v>
      </c>
      <c r="AI53">
        <v>1.1100000000000001</v>
      </c>
      <c r="AJ53">
        <v>1</v>
      </c>
      <c r="AK53">
        <v>1</v>
      </c>
      <c r="AL53">
        <v>1</v>
      </c>
      <c r="AM53">
        <v>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6</v>
      </c>
      <c r="AT53">
        <v>0.39</v>
      </c>
      <c r="AU53" t="s">
        <v>6</v>
      </c>
      <c r="AV53">
        <v>0</v>
      </c>
      <c r="AW53">
        <v>2</v>
      </c>
      <c r="AX53">
        <v>41854078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68.222700000000003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68.222700000000003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v>0</v>
      </c>
      <c r="CX53">
        <f>ROUND(Y53*Source!I243,7)</f>
        <v>4.68</v>
      </c>
      <c r="CY53">
        <f>AA53</f>
        <v>194.17</v>
      </c>
      <c r="CZ53">
        <f>AE53</f>
        <v>174.93</v>
      </c>
      <c r="DA53">
        <f>AI53</f>
        <v>1.1100000000000001</v>
      </c>
      <c r="DB53">
        <f t="shared" si="25"/>
        <v>68.22</v>
      </c>
      <c r="DC53">
        <f t="shared" si="26"/>
        <v>0</v>
      </c>
      <c r="DD53" t="s">
        <v>6</v>
      </c>
      <c r="DE53" t="s">
        <v>6</v>
      </c>
      <c r="DF53">
        <f>ROUND(ROUND(AE53*AI53,2)*CX53,2)</f>
        <v>908.72</v>
      </c>
      <c r="DG53">
        <f t="shared" si="27"/>
        <v>0</v>
      </c>
      <c r="DH53">
        <f t="shared" si="20"/>
        <v>0</v>
      </c>
      <c r="DI53">
        <f t="shared" si="21"/>
        <v>0</v>
      </c>
      <c r="DJ53">
        <f>DF53</f>
        <v>908.72</v>
      </c>
      <c r="DK53">
        <v>0</v>
      </c>
      <c r="DL53" t="s">
        <v>6</v>
      </c>
      <c r="DM53">
        <v>0</v>
      </c>
      <c r="DN53" t="s">
        <v>6</v>
      </c>
      <c r="DO53">
        <v>0</v>
      </c>
    </row>
    <row r="54" spans="1:119">
      <c r="A54">
        <f>ROW(Source!A243)</f>
        <v>243</v>
      </c>
      <c r="B54">
        <v>41853493</v>
      </c>
      <c r="C54">
        <v>41854072</v>
      </c>
      <c r="D54">
        <v>41036706</v>
      </c>
      <c r="E54">
        <v>1</v>
      </c>
      <c r="F54">
        <v>1</v>
      </c>
      <c r="G54">
        <v>1</v>
      </c>
      <c r="H54">
        <v>3</v>
      </c>
      <c r="I54" t="s">
        <v>375</v>
      </c>
      <c r="J54" t="s">
        <v>376</v>
      </c>
      <c r="K54" t="s">
        <v>377</v>
      </c>
      <c r="L54">
        <v>1455</v>
      </c>
      <c r="N54">
        <v>1013</v>
      </c>
      <c r="O54" t="s">
        <v>378</v>
      </c>
      <c r="P54" t="s">
        <v>378</v>
      </c>
      <c r="Q54">
        <v>1</v>
      </c>
      <c r="W54">
        <v>0</v>
      </c>
      <c r="X54">
        <v>1465968117</v>
      </c>
      <c r="Y54">
        <f t="shared" si="24"/>
        <v>0.1</v>
      </c>
      <c r="AA54">
        <v>991.92</v>
      </c>
      <c r="AB54">
        <v>0</v>
      </c>
      <c r="AC54">
        <v>0</v>
      </c>
      <c r="AD54">
        <v>0</v>
      </c>
      <c r="AE54">
        <v>944.69</v>
      </c>
      <c r="AF54">
        <v>0</v>
      </c>
      <c r="AG54">
        <v>0</v>
      </c>
      <c r="AH54">
        <v>0</v>
      </c>
      <c r="AI54">
        <v>1.05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6</v>
      </c>
      <c r="AT54">
        <v>0.1</v>
      </c>
      <c r="AU54" t="s">
        <v>6</v>
      </c>
      <c r="AV54">
        <v>0</v>
      </c>
      <c r="AW54">
        <v>2</v>
      </c>
      <c r="AX54">
        <v>41854079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94.469000000000008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94.469000000000008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1</v>
      </c>
      <c r="CV54">
        <v>0</v>
      </c>
      <c r="CW54">
        <v>0</v>
      </c>
      <c r="CX54">
        <f>ROUND(Y54*Source!I243,7)</f>
        <v>1.2</v>
      </c>
      <c r="CY54">
        <f>AA54</f>
        <v>991.92</v>
      </c>
      <c r="CZ54">
        <f>AE54</f>
        <v>944.69</v>
      </c>
      <c r="DA54">
        <f>AI54</f>
        <v>1.05</v>
      </c>
      <c r="DB54">
        <f t="shared" si="25"/>
        <v>94.47</v>
      </c>
      <c r="DC54">
        <f t="shared" si="26"/>
        <v>0</v>
      </c>
      <c r="DD54" t="s">
        <v>6</v>
      </c>
      <c r="DE54" t="s">
        <v>6</v>
      </c>
      <c r="DF54">
        <f>ROUND(ROUND(AE54*AI54,2)*CX54,2)</f>
        <v>1190.3</v>
      </c>
      <c r="DG54">
        <f t="shared" si="27"/>
        <v>0</v>
      </c>
      <c r="DH54">
        <f t="shared" si="20"/>
        <v>0</v>
      </c>
      <c r="DI54">
        <f t="shared" si="21"/>
        <v>0</v>
      </c>
      <c r="DJ54">
        <f>DF54</f>
        <v>1190.3</v>
      </c>
      <c r="DK54">
        <v>0</v>
      </c>
      <c r="DL54" t="s">
        <v>6</v>
      </c>
      <c r="DM54">
        <v>0</v>
      </c>
      <c r="DN54" t="s">
        <v>6</v>
      </c>
      <c r="DO54">
        <v>0</v>
      </c>
    </row>
    <row r="55" spans="1:119">
      <c r="A55">
        <f>ROW(Source!A243)</f>
        <v>243</v>
      </c>
      <c r="B55">
        <v>41853493</v>
      </c>
      <c r="C55">
        <v>41854072</v>
      </c>
      <c r="D55">
        <v>40676108</v>
      </c>
      <c r="E55">
        <v>108</v>
      </c>
      <c r="F55">
        <v>1</v>
      </c>
      <c r="G55">
        <v>1</v>
      </c>
      <c r="H55">
        <v>3</v>
      </c>
      <c r="I55" t="s">
        <v>28</v>
      </c>
      <c r="J55" t="s">
        <v>6</v>
      </c>
      <c r="K55" t="s">
        <v>29</v>
      </c>
      <c r="L55">
        <v>3277935</v>
      </c>
      <c r="N55">
        <v>1013</v>
      </c>
      <c r="O55" t="s">
        <v>30</v>
      </c>
      <c r="P55" t="s">
        <v>30</v>
      </c>
      <c r="Q55">
        <v>1</v>
      </c>
      <c r="W55">
        <v>0</v>
      </c>
      <c r="X55">
        <v>274903907</v>
      </c>
      <c r="Y55">
        <f t="shared" si="24"/>
        <v>2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6</v>
      </c>
      <c r="AT55">
        <v>2</v>
      </c>
      <c r="AU55" t="s">
        <v>6</v>
      </c>
      <c r="AV55">
        <v>0</v>
      </c>
      <c r="AW55">
        <v>2</v>
      </c>
      <c r="AX55">
        <v>41854080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ROUND(Y55*Source!I243,7)</f>
        <v>24</v>
      </c>
      <c r="CY55">
        <f>AA55</f>
        <v>0</v>
      </c>
      <c r="CZ55">
        <f>AE55</f>
        <v>0</v>
      </c>
      <c r="DA55">
        <f>AI55</f>
        <v>1</v>
      </c>
      <c r="DB55">
        <f t="shared" si="25"/>
        <v>0</v>
      </c>
      <c r="DC55">
        <f t="shared" si="26"/>
        <v>0</v>
      </c>
      <c r="DD55" t="s">
        <v>6</v>
      </c>
      <c r="DE55" t="s">
        <v>6</v>
      </c>
      <c r="DF55">
        <f t="shared" ref="DF55:DF61" si="28">ROUND(ROUND(AE55,2)*CX55,2)</f>
        <v>0</v>
      </c>
      <c r="DG55">
        <f t="shared" si="27"/>
        <v>0</v>
      </c>
      <c r="DH55">
        <f t="shared" si="20"/>
        <v>0</v>
      </c>
      <c r="DI55">
        <f t="shared" si="21"/>
        <v>0</v>
      </c>
      <c r="DJ55">
        <f>DF55</f>
        <v>0</v>
      </c>
      <c r="DK55">
        <v>0</v>
      </c>
      <c r="DL55" t="s">
        <v>6</v>
      </c>
      <c r="DM55">
        <v>0</v>
      </c>
      <c r="DN55" t="s">
        <v>6</v>
      </c>
      <c r="DO55">
        <v>0</v>
      </c>
    </row>
    <row r="56" spans="1:119">
      <c r="A56">
        <f>ROW(Source!A245)</f>
        <v>245</v>
      </c>
      <c r="B56">
        <v>41853493</v>
      </c>
      <c r="C56">
        <v>41854082</v>
      </c>
      <c r="D56">
        <v>40669968</v>
      </c>
      <c r="E56">
        <v>108</v>
      </c>
      <c r="F56">
        <v>1</v>
      </c>
      <c r="G56">
        <v>1</v>
      </c>
      <c r="H56">
        <v>1</v>
      </c>
      <c r="I56" t="s">
        <v>361</v>
      </c>
      <c r="J56" t="s">
        <v>6</v>
      </c>
      <c r="K56" t="s">
        <v>362</v>
      </c>
      <c r="L56">
        <v>1191</v>
      </c>
      <c r="N56">
        <v>1013</v>
      </c>
      <c r="O56" t="s">
        <v>321</v>
      </c>
      <c r="P56" t="s">
        <v>321</v>
      </c>
      <c r="Q56">
        <v>1</v>
      </c>
      <c r="W56">
        <v>0</v>
      </c>
      <c r="X56">
        <v>-2012709214</v>
      </c>
      <c r="Y56">
        <f t="shared" si="24"/>
        <v>4</v>
      </c>
      <c r="AA56">
        <v>0</v>
      </c>
      <c r="AB56">
        <v>0</v>
      </c>
      <c r="AC56">
        <v>0</v>
      </c>
      <c r="AD56">
        <v>296.32</v>
      </c>
      <c r="AE56">
        <v>0</v>
      </c>
      <c r="AF56">
        <v>0</v>
      </c>
      <c r="AG56">
        <v>0</v>
      </c>
      <c r="AH56">
        <v>296.32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6</v>
      </c>
      <c r="AT56">
        <v>4</v>
      </c>
      <c r="AU56" t="s">
        <v>6</v>
      </c>
      <c r="AV56">
        <v>1</v>
      </c>
      <c r="AW56">
        <v>2</v>
      </c>
      <c r="AX56">
        <v>41854083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1185.28</v>
      </c>
      <c r="BN56">
        <v>4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1185.28</v>
      </c>
      <c r="BU56">
        <v>4</v>
      </c>
      <c r="BV56">
        <v>0</v>
      </c>
      <c r="BW56">
        <v>1</v>
      </c>
      <c r="CU56">
        <f>ROUND(AT56*Source!I245*AH56*AL56,2)</f>
        <v>9482.24</v>
      </c>
      <c r="CV56">
        <f>ROUND(Y56*Source!I245,7)</f>
        <v>32</v>
      </c>
      <c r="CW56">
        <v>0</v>
      </c>
      <c r="CX56">
        <f>ROUND(Y56*Source!I245,7)</f>
        <v>32</v>
      </c>
      <c r="CY56">
        <f>AD56</f>
        <v>296.32</v>
      </c>
      <c r="CZ56">
        <f>AH56</f>
        <v>296.32</v>
      </c>
      <c r="DA56">
        <f>AL56</f>
        <v>1</v>
      </c>
      <c r="DB56">
        <f t="shared" si="25"/>
        <v>1185.28</v>
      </c>
      <c r="DC56">
        <f t="shared" si="26"/>
        <v>0</v>
      </c>
      <c r="DD56" t="s">
        <v>6</v>
      </c>
      <c r="DE56" t="s">
        <v>6</v>
      </c>
      <c r="DF56">
        <f t="shared" si="28"/>
        <v>0</v>
      </c>
      <c r="DG56">
        <f t="shared" si="27"/>
        <v>0</v>
      </c>
      <c r="DH56">
        <f t="shared" si="20"/>
        <v>0</v>
      </c>
      <c r="DI56">
        <f t="shared" si="21"/>
        <v>9482.24</v>
      </c>
      <c r="DJ56">
        <f>DI56</f>
        <v>9482.24</v>
      </c>
      <c r="DK56">
        <v>1</v>
      </c>
      <c r="DL56" t="s">
        <v>6</v>
      </c>
      <c r="DM56">
        <v>0</v>
      </c>
      <c r="DN56" t="s">
        <v>6</v>
      </c>
      <c r="DO56">
        <v>0</v>
      </c>
    </row>
    <row r="57" spans="1:119">
      <c r="A57">
        <f>ROW(Source!A245)</f>
        <v>245</v>
      </c>
      <c r="B57">
        <v>41853493</v>
      </c>
      <c r="C57">
        <v>41854082</v>
      </c>
      <c r="D57">
        <v>40670210</v>
      </c>
      <c r="E57">
        <v>108</v>
      </c>
      <c r="F57">
        <v>1</v>
      </c>
      <c r="G57">
        <v>1</v>
      </c>
      <c r="H57">
        <v>1</v>
      </c>
      <c r="I57" t="s">
        <v>322</v>
      </c>
      <c r="J57" t="s">
        <v>6</v>
      </c>
      <c r="K57" t="s">
        <v>323</v>
      </c>
      <c r="L57">
        <v>1191</v>
      </c>
      <c r="N57">
        <v>1013</v>
      </c>
      <c r="O57" t="s">
        <v>321</v>
      </c>
      <c r="P57" t="s">
        <v>321</v>
      </c>
      <c r="Q57">
        <v>1</v>
      </c>
      <c r="W57">
        <v>0</v>
      </c>
      <c r="X57">
        <v>-1417349443</v>
      </c>
      <c r="Y57">
        <f t="shared" si="24"/>
        <v>0.02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6</v>
      </c>
      <c r="AT57">
        <v>0.02</v>
      </c>
      <c r="AU57" t="s">
        <v>6</v>
      </c>
      <c r="AV57">
        <v>2</v>
      </c>
      <c r="AW57">
        <v>2</v>
      </c>
      <c r="AX57">
        <v>41854084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ROUND(Y57*Source!I245,7)</f>
        <v>0.16</v>
      </c>
      <c r="CY57">
        <f>AD57</f>
        <v>0</v>
      </c>
      <c r="CZ57">
        <f>AH57</f>
        <v>0</v>
      </c>
      <c r="DA57">
        <f>AL57</f>
        <v>1</v>
      </c>
      <c r="DB57">
        <f t="shared" si="25"/>
        <v>0</v>
      </c>
      <c r="DC57">
        <f t="shared" si="26"/>
        <v>0</v>
      </c>
      <c r="DD57" t="s">
        <v>6</v>
      </c>
      <c r="DE57" t="s">
        <v>6</v>
      </c>
      <c r="DF57">
        <f t="shared" si="28"/>
        <v>0</v>
      </c>
      <c r="DG57">
        <f t="shared" si="27"/>
        <v>0</v>
      </c>
      <c r="DH57">
        <f t="shared" si="20"/>
        <v>0</v>
      </c>
      <c r="DI57">
        <f t="shared" si="21"/>
        <v>0</v>
      </c>
      <c r="DJ57">
        <f>DI57</f>
        <v>0</v>
      </c>
      <c r="DK57">
        <v>0</v>
      </c>
      <c r="DL57" t="s">
        <v>6</v>
      </c>
      <c r="DM57">
        <v>0</v>
      </c>
      <c r="DN57" t="s">
        <v>6</v>
      </c>
      <c r="DO57">
        <v>0</v>
      </c>
    </row>
    <row r="58" spans="1:119">
      <c r="A58">
        <f>ROW(Source!A245)</f>
        <v>245</v>
      </c>
      <c r="B58">
        <v>41853493</v>
      </c>
      <c r="C58">
        <v>41854082</v>
      </c>
      <c r="D58">
        <v>40987978</v>
      </c>
      <c r="E58">
        <v>1</v>
      </c>
      <c r="F58">
        <v>1</v>
      </c>
      <c r="G58">
        <v>1</v>
      </c>
      <c r="H58">
        <v>2</v>
      </c>
      <c r="I58" t="s">
        <v>324</v>
      </c>
      <c r="J58" t="s">
        <v>325</v>
      </c>
      <c r="K58" t="s">
        <v>326</v>
      </c>
      <c r="L58">
        <v>1368</v>
      </c>
      <c r="N58">
        <v>1011</v>
      </c>
      <c r="O58" t="s">
        <v>327</v>
      </c>
      <c r="P58" t="s">
        <v>327</v>
      </c>
      <c r="Q58">
        <v>1</v>
      </c>
      <c r="W58">
        <v>0</v>
      </c>
      <c r="X58">
        <v>-848025172</v>
      </c>
      <c r="Y58">
        <f t="shared" si="24"/>
        <v>0.01</v>
      </c>
      <c r="AA58">
        <v>0</v>
      </c>
      <c r="AB58">
        <v>1442.85</v>
      </c>
      <c r="AC58">
        <v>407.16</v>
      </c>
      <c r="AD58">
        <v>0</v>
      </c>
      <c r="AE58">
        <v>0</v>
      </c>
      <c r="AF58">
        <v>1442.85</v>
      </c>
      <c r="AG58">
        <v>407.16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6</v>
      </c>
      <c r="AT58">
        <v>0.01</v>
      </c>
      <c r="AU58" t="s">
        <v>6</v>
      </c>
      <c r="AV58">
        <v>1</v>
      </c>
      <c r="AW58">
        <v>2</v>
      </c>
      <c r="AX58">
        <v>41854085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14.4285</v>
      </c>
      <c r="BL58">
        <v>4.0716000000000001</v>
      </c>
      <c r="BM58">
        <v>0</v>
      </c>
      <c r="BN58">
        <v>0</v>
      </c>
      <c r="BO58">
        <v>0.01</v>
      </c>
      <c r="BP58">
        <v>1</v>
      </c>
      <c r="BQ58">
        <v>0</v>
      </c>
      <c r="BR58">
        <v>14.4285</v>
      </c>
      <c r="BS58">
        <v>4.0716000000000001</v>
      </c>
      <c r="BT58">
        <v>0</v>
      </c>
      <c r="BU58">
        <v>0</v>
      </c>
      <c r="BV58">
        <v>0.01</v>
      </c>
      <c r="BW58">
        <v>1</v>
      </c>
      <c r="CV58">
        <v>0</v>
      </c>
      <c r="CW58">
        <f>ROUND(Y58*Source!I245,7)</f>
        <v>0.08</v>
      </c>
      <c r="CX58">
        <f>ROUND(Y58*Source!I245,7)</f>
        <v>0.08</v>
      </c>
      <c r="CY58">
        <f>AB58</f>
        <v>1442.85</v>
      </c>
      <c r="CZ58">
        <f>AF58</f>
        <v>1442.85</v>
      </c>
      <c r="DA58">
        <f>AJ58</f>
        <v>1</v>
      </c>
      <c r="DB58">
        <f t="shared" si="25"/>
        <v>14.43</v>
      </c>
      <c r="DC58">
        <f t="shared" si="26"/>
        <v>4.07</v>
      </c>
      <c r="DD58" t="s">
        <v>6</v>
      </c>
      <c r="DE58" t="s">
        <v>6</v>
      </c>
      <c r="DF58">
        <f t="shared" si="28"/>
        <v>0</v>
      </c>
      <c r="DG58">
        <f t="shared" si="27"/>
        <v>115.43</v>
      </c>
      <c r="DH58">
        <f t="shared" si="20"/>
        <v>32.57</v>
      </c>
      <c r="DI58">
        <f t="shared" si="21"/>
        <v>0</v>
      </c>
      <c r="DJ58">
        <f>DG58+DH58</f>
        <v>148</v>
      </c>
      <c r="DK58">
        <v>1</v>
      </c>
      <c r="DL58" t="s">
        <v>328</v>
      </c>
      <c r="DM58">
        <v>6</v>
      </c>
      <c r="DN58" t="s">
        <v>321</v>
      </c>
      <c r="DO58">
        <v>1</v>
      </c>
    </row>
    <row r="59" spans="1:119">
      <c r="A59">
        <f>ROW(Source!A245)</f>
        <v>245</v>
      </c>
      <c r="B59">
        <v>41853493</v>
      </c>
      <c r="C59">
        <v>41854082</v>
      </c>
      <c r="D59">
        <v>40989217</v>
      </c>
      <c r="E59">
        <v>1</v>
      </c>
      <c r="F59">
        <v>1</v>
      </c>
      <c r="G59">
        <v>1</v>
      </c>
      <c r="H59">
        <v>2</v>
      </c>
      <c r="I59" t="s">
        <v>329</v>
      </c>
      <c r="J59" t="s">
        <v>330</v>
      </c>
      <c r="K59" t="s">
        <v>331</v>
      </c>
      <c r="L59">
        <v>1368</v>
      </c>
      <c r="N59">
        <v>1011</v>
      </c>
      <c r="O59" t="s">
        <v>327</v>
      </c>
      <c r="P59" t="s">
        <v>327</v>
      </c>
      <c r="Q59">
        <v>1</v>
      </c>
      <c r="W59">
        <v>0</v>
      </c>
      <c r="X59">
        <v>1230426758</v>
      </c>
      <c r="Y59">
        <f t="shared" si="24"/>
        <v>0.01</v>
      </c>
      <c r="AA59">
        <v>0</v>
      </c>
      <c r="AB59">
        <v>557.94000000000005</v>
      </c>
      <c r="AC59">
        <v>303.11</v>
      </c>
      <c r="AD59">
        <v>0</v>
      </c>
      <c r="AE59">
        <v>0</v>
      </c>
      <c r="AF59">
        <v>557.94000000000005</v>
      </c>
      <c r="AG59">
        <v>303.11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6</v>
      </c>
      <c r="AT59">
        <v>0.01</v>
      </c>
      <c r="AU59" t="s">
        <v>6</v>
      </c>
      <c r="AV59">
        <v>1</v>
      </c>
      <c r="AW59">
        <v>2</v>
      </c>
      <c r="AX59">
        <v>41854086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5.5794000000000006</v>
      </c>
      <c r="BL59">
        <v>3.0311000000000003</v>
      </c>
      <c r="BM59">
        <v>0</v>
      </c>
      <c r="BN59">
        <v>0</v>
      </c>
      <c r="BO59">
        <v>0.01</v>
      </c>
      <c r="BP59">
        <v>1</v>
      </c>
      <c r="BQ59">
        <v>0</v>
      </c>
      <c r="BR59">
        <v>5.5794000000000006</v>
      </c>
      <c r="BS59">
        <v>3.0311000000000003</v>
      </c>
      <c r="BT59">
        <v>0</v>
      </c>
      <c r="BU59">
        <v>0</v>
      </c>
      <c r="BV59">
        <v>0.01</v>
      </c>
      <c r="BW59">
        <v>1</v>
      </c>
      <c r="CV59">
        <v>0</v>
      </c>
      <c r="CW59">
        <f>ROUND(Y59*Source!I245,7)</f>
        <v>0.08</v>
      </c>
      <c r="CX59">
        <f>ROUND(Y59*Source!I245,7)</f>
        <v>0.08</v>
      </c>
      <c r="CY59">
        <f>AB59</f>
        <v>557.94000000000005</v>
      </c>
      <c r="CZ59">
        <f>AF59</f>
        <v>557.94000000000005</v>
      </c>
      <c r="DA59">
        <f>AJ59</f>
        <v>1</v>
      </c>
      <c r="DB59">
        <f t="shared" si="25"/>
        <v>5.58</v>
      </c>
      <c r="DC59">
        <f t="shared" si="26"/>
        <v>3.03</v>
      </c>
      <c r="DD59" t="s">
        <v>6</v>
      </c>
      <c r="DE59" t="s">
        <v>6</v>
      </c>
      <c r="DF59">
        <f t="shared" si="28"/>
        <v>0</v>
      </c>
      <c r="DG59">
        <f t="shared" si="27"/>
        <v>44.64</v>
      </c>
      <c r="DH59">
        <f t="shared" si="20"/>
        <v>24.25</v>
      </c>
      <c r="DI59">
        <f t="shared" si="21"/>
        <v>0</v>
      </c>
      <c r="DJ59">
        <f>DG59+DH59</f>
        <v>68.89</v>
      </c>
      <c r="DK59">
        <v>1</v>
      </c>
      <c r="DL59" t="s">
        <v>332</v>
      </c>
      <c r="DM59">
        <v>4</v>
      </c>
      <c r="DN59" t="s">
        <v>321</v>
      </c>
      <c r="DO59">
        <v>1</v>
      </c>
    </row>
    <row r="60" spans="1:119">
      <c r="A60">
        <f>ROW(Source!A245)</f>
        <v>245</v>
      </c>
      <c r="B60">
        <v>41853493</v>
      </c>
      <c r="C60">
        <v>41854082</v>
      </c>
      <c r="D60">
        <v>40989496</v>
      </c>
      <c r="E60">
        <v>1</v>
      </c>
      <c r="F60">
        <v>1</v>
      </c>
      <c r="G60">
        <v>1</v>
      </c>
      <c r="H60">
        <v>2</v>
      </c>
      <c r="I60" t="s">
        <v>338</v>
      </c>
      <c r="J60" t="s">
        <v>339</v>
      </c>
      <c r="K60" t="s">
        <v>340</v>
      </c>
      <c r="L60">
        <v>1368</v>
      </c>
      <c r="N60">
        <v>1011</v>
      </c>
      <c r="O60" t="s">
        <v>327</v>
      </c>
      <c r="P60" t="s">
        <v>327</v>
      </c>
      <c r="Q60">
        <v>1</v>
      </c>
      <c r="W60">
        <v>0</v>
      </c>
      <c r="X60">
        <v>1280601743</v>
      </c>
      <c r="Y60">
        <f t="shared" si="24"/>
        <v>0.28000000000000003</v>
      </c>
      <c r="AA60">
        <v>0</v>
      </c>
      <c r="AB60">
        <v>17.78</v>
      </c>
      <c r="AC60">
        <v>0</v>
      </c>
      <c r="AD60">
        <v>0</v>
      </c>
      <c r="AE60">
        <v>0</v>
      </c>
      <c r="AF60">
        <v>17.78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6</v>
      </c>
      <c r="AT60">
        <v>0.28000000000000003</v>
      </c>
      <c r="AU60" t="s">
        <v>6</v>
      </c>
      <c r="AV60">
        <v>1</v>
      </c>
      <c r="AW60">
        <v>2</v>
      </c>
      <c r="AX60">
        <v>41854087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4.9784000000000006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4.9784000000000006</v>
      </c>
      <c r="BS60">
        <v>0</v>
      </c>
      <c r="BT60">
        <v>0</v>
      </c>
      <c r="BU60">
        <v>0</v>
      </c>
      <c r="BV60">
        <v>0</v>
      </c>
      <c r="BW60">
        <v>1</v>
      </c>
      <c r="CV60">
        <v>0</v>
      </c>
      <c r="CW60">
        <f>ROUND(Y60*Source!I245,7)</f>
        <v>2.2400000000000002</v>
      </c>
      <c r="CX60">
        <f>ROUND(Y60*Source!I245,7)</f>
        <v>2.2400000000000002</v>
      </c>
      <c r="CY60">
        <f>AB60</f>
        <v>17.78</v>
      </c>
      <c r="CZ60">
        <f>AF60</f>
        <v>17.78</v>
      </c>
      <c r="DA60">
        <f>AJ60</f>
        <v>1</v>
      </c>
      <c r="DB60">
        <f t="shared" si="25"/>
        <v>4.9800000000000004</v>
      </c>
      <c r="DC60">
        <f t="shared" si="26"/>
        <v>0</v>
      </c>
      <c r="DD60" t="s">
        <v>6</v>
      </c>
      <c r="DE60" t="s">
        <v>6</v>
      </c>
      <c r="DF60">
        <f t="shared" si="28"/>
        <v>0</v>
      </c>
      <c r="DG60">
        <f t="shared" si="27"/>
        <v>39.83</v>
      </c>
      <c r="DH60">
        <f t="shared" si="20"/>
        <v>0</v>
      </c>
      <c r="DI60">
        <f t="shared" si="21"/>
        <v>0</v>
      </c>
      <c r="DJ60">
        <f>DG60+DH60</f>
        <v>39.83</v>
      </c>
      <c r="DK60">
        <v>1</v>
      </c>
      <c r="DL60" t="s">
        <v>6</v>
      </c>
      <c r="DM60">
        <v>0</v>
      </c>
      <c r="DN60" t="s">
        <v>6</v>
      </c>
      <c r="DO60">
        <v>0</v>
      </c>
    </row>
    <row r="61" spans="1:119">
      <c r="A61">
        <f>ROW(Source!A245)</f>
        <v>245</v>
      </c>
      <c r="B61">
        <v>41853493</v>
      </c>
      <c r="C61">
        <v>41854082</v>
      </c>
      <c r="D61">
        <v>40990041</v>
      </c>
      <c r="E61">
        <v>1</v>
      </c>
      <c r="F61">
        <v>1</v>
      </c>
      <c r="G61">
        <v>1</v>
      </c>
      <c r="H61">
        <v>2</v>
      </c>
      <c r="I61" t="s">
        <v>379</v>
      </c>
      <c r="J61" t="s">
        <v>380</v>
      </c>
      <c r="K61" t="s">
        <v>381</v>
      </c>
      <c r="L61">
        <v>1368</v>
      </c>
      <c r="N61">
        <v>1011</v>
      </c>
      <c r="O61" t="s">
        <v>327</v>
      </c>
      <c r="P61" t="s">
        <v>327</v>
      </c>
      <c r="Q61">
        <v>1</v>
      </c>
      <c r="W61">
        <v>0</v>
      </c>
      <c r="X61">
        <v>2004484582</v>
      </c>
      <c r="Y61">
        <f t="shared" si="24"/>
        <v>0.29799999999999999</v>
      </c>
      <c r="AA61">
        <v>0</v>
      </c>
      <c r="AB61">
        <v>17.78</v>
      </c>
      <c r="AC61">
        <v>0</v>
      </c>
      <c r="AD61">
        <v>0</v>
      </c>
      <c r="AE61">
        <v>0</v>
      </c>
      <c r="AF61">
        <v>17.78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6</v>
      </c>
      <c r="AT61">
        <v>0.29799999999999999</v>
      </c>
      <c r="AU61" t="s">
        <v>6</v>
      </c>
      <c r="AV61">
        <v>1</v>
      </c>
      <c r="AW61">
        <v>2</v>
      </c>
      <c r="AX61">
        <v>41854088</v>
      </c>
      <c r="AY61">
        <v>1</v>
      </c>
      <c r="AZ61">
        <v>0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5.2984400000000003</v>
      </c>
      <c r="BL61">
        <v>0</v>
      </c>
      <c r="BM61">
        <v>0</v>
      </c>
      <c r="BN61">
        <v>0</v>
      </c>
      <c r="BO61">
        <v>0</v>
      </c>
      <c r="BP61">
        <v>1</v>
      </c>
      <c r="BQ61">
        <v>0</v>
      </c>
      <c r="BR61">
        <v>5.2984400000000003</v>
      </c>
      <c r="BS61">
        <v>0</v>
      </c>
      <c r="BT61">
        <v>0</v>
      </c>
      <c r="BU61">
        <v>0</v>
      </c>
      <c r="BV61">
        <v>0</v>
      </c>
      <c r="BW61">
        <v>1</v>
      </c>
      <c r="CV61">
        <v>0</v>
      </c>
      <c r="CW61">
        <f>ROUND(Y61*Source!I245,7)</f>
        <v>2.3839999999999999</v>
      </c>
      <c r="CX61">
        <f>ROUND(Y61*Source!I245,7)</f>
        <v>2.3839999999999999</v>
      </c>
      <c r="CY61">
        <f>AB61</f>
        <v>17.78</v>
      </c>
      <c r="CZ61">
        <f>AF61</f>
        <v>17.78</v>
      </c>
      <c r="DA61">
        <f>AJ61</f>
        <v>1</v>
      </c>
      <c r="DB61">
        <f t="shared" si="25"/>
        <v>5.3</v>
      </c>
      <c r="DC61">
        <f t="shared" si="26"/>
        <v>0</v>
      </c>
      <c r="DD61" t="s">
        <v>6</v>
      </c>
      <c r="DE61" t="s">
        <v>6</v>
      </c>
      <c r="DF61">
        <f t="shared" si="28"/>
        <v>0</v>
      </c>
      <c r="DG61">
        <f t="shared" si="27"/>
        <v>42.39</v>
      </c>
      <c r="DH61">
        <f t="shared" si="20"/>
        <v>0</v>
      </c>
      <c r="DI61">
        <f t="shared" si="21"/>
        <v>0</v>
      </c>
      <c r="DJ61">
        <f>DG61+DH61</f>
        <v>42.39</v>
      </c>
      <c r="DK61">
        <v>1</v>
      </c>
      <c r="DL61" t="s">
        <v>6</v>
      </c>
      <c r="DM61">
        <v>0</v>
      </c>
      <c r="DN61" t="s">
        <v>6</v>
      </c>
      <c r="DO61">
        <v>0</v>
      </c>
    </row>
    <row r="62" spans="1:119">
      <c r="A62">
        <f>ROW(Source!A245)</f>
        <v>245</v>
      </c>
      <c r="B62">
        <v>41853493</v>
      </c>
      <c r="C62">
        <v>41854082</v>
      </c>
      <c r="D62">
        <v>40990936</v>
      </c>
      <c r="E62">
        <v>1</v>
      </c>
      <c r="F62">
        <v>1</v>
      </c>
      <c r="G62">
        <v>1</v>
      </c>
      <c r="H62">
        <v>3</v>
      </c>
      <c r="I62" t="s">
        <v>382</v>
      </c>
      <c r="J62" t="s">
        <v>383</v>
      </c>
      <c r="K62" t="s">
        <v>384</v>
      </c>
      <c r="L62">
        <v>1346</v>
      </c>
      <c r="N62">
        <v>1009</v>
      </c>
      <c r="O62" t="s">
        <v>344</v>
      </c>
      <c r="P62" t="s">
        <v>344</v>
      </c>
      <c r="Q62">
        <v>1</v>
      </c>
      <c r="W62">
        <v>0</v>
      </c>
      <c r="X62">
        <v>1380577498</v>
      </c>
      <c r="Y62">
        <f t="shared" si="24"/>
        <v>1.2E-2</v>
      </c>
      <c r="AA62">
        <v>225.06</v>
      </c>
      <c r="AB62">
        <v>0</v>
      </c>
      <c r="AC62">
        <v>0</v>
      </c>
      <c r="AD62">
        <v>0</v>
      </c>
      <c r="AE62">
        <v>150.04</v>
      </c>
      <c r="AF62">
        <v>0</v>
      </c>
      <c r="AG62">
        <v>0</v>
      </c>
      <c r="AH62">
        <v>0</v>
      </c>
      <c r="AI62">
        <v>1.5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6</v>
      </c>
      <c r="AT62">
        <v>1.2E-2</v>
      </c>
      <c r="AU62" t="s">
        <v>6</v>
      </c>
      <c r="AV62">
        <v>0</v>
      </c>
      <c r="AW62">
        <v>2</v>
      </c>
      <c r="AX62">
        <v>41854089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1.8004799999999999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1</v>
      </c>
      <c r="BQ62">
        <v>1.8004799999999999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1</v>
      </c>
      <c r="CV62">
        <v>0</v>
      </c>
      <c r="CW62">
        <v>0</v>
      </c>
      <c r="CX62">
        <f>ROUND(Y62*Source!I245,7)</f>
        <v>9.6000000000000002E-2</v>
      </c>
      <c r="CY62">
        <f t="shared" ref="CY62:CY74" si="29">AA62</f>
        <v>225.06</v>
      </c>
      <c r="CZ62">
        <f t="shared" ref="CZ62:CZ74" si="30">AE62</f>
        <v>150.04</v>
      </c>
      <c r="DA62">
        <f t="shared" ref="DA62:DA74" si="31">AI62</f>
        <v>1.5</v>
      </c>
      <c r="DB62">
        <f t="shared" si="25"/>
        <v>1.8</v>
      </c>
      <c r="DC62">
        <f t="shared" si="26"/>
        <v>0</v>
      </c>
      <c r="DD62" t="s">
        <v>6</v>
      </c>
      <c r="DE62" t="s">
        <v>6</v>
      </c>
      <c r="DF62">
        <f>ROUND(ROUND(AE62*AI62,2)*CX62,2)</f>
        <v>21.61</v>
      </c>
      <c r="DG62">
        <f t="shared" si="27"/>
        <v>0</v>
      </c>
      <c r="DH62">
        <f t="shared" si="20"/>
        <v>0</v>
      </c>
      <c r="DI62">
        <f t="shared" si="21"/>
        <v>0</v>
      </c>
      <c r="DJ62">
        <f t="shared" ref="DJ62:DJ74" si="32">DF62</f>
        <v>21.61</v>
      </c>
      <c r="DK62">
        <v>0</v>
      </c>
      <c r="DL62" t="s">
        <v>6</v>
      </c>
      <c r="DM62">
        <v>0</v>
      </c>
      <c r="DN62" t="s">
        <v>6</v>
      </c>
      <c r="DO62">
        <v>0</v>
      </c>
    </row>
    <row r="63" spans="1:119">
      <c r="A63">
        <f>ROW(Source!A245)</f>
        <v>245</v>
      </c>
      <c r="B63">
        <v>41853493</v>
      </c>
      <c r="C63">
        <v>41854082</v>
      </c>
      <c r="D63">
        <v>40993947</v>
      </c>
      <c r="E63">
        <v>1</v>
      </c>
      <c r="F63">
        <v>1</v>
      </c>
      <c r="G63">
        <v>1</v>
      </c>
      <c r="H63">
        <v>3</v>
      </c>
      <c r="I63" t="s">
        <v>385</v>
      </c>
      <c r="J63" t="s">
        <v>386</v>
      </c>
      <c r="K63" t="s">
        <v>387</v>
      </c>
      <c r="L63">
        <v>1346</v>
      </c>
      <c r="N63">
        <v>1009</v>
      </c>
      <c r="O63" t="s">
        <v>344</v>
      </c>
      <c r="P63" t="s">
        <v>344</v>
      </c>
      <c r="Q63">
        <v>1</v>
      </c>
      <c r="W63">
        <v>0</v>
      </c>
      <c r="X63">
        <v>769317804</v>
      </c>
      <c r="Y63">
        <f t="shared" si="24"/>
        <v>5.0000000000000001E-3</v>
      </c>
      <c r="AA63">
        <v>170.52</v>
      </c>
      <c r="AB63">
        <v>0</v>
      </c>
      <c r="AC63">
        <v>0</v>
      </c>
      <c r="AD63">
        <v>0</v>
      </c>
      <c r="AE63">
        <v>187.38</v>
      </c>
      <c r="AF63">
        <v>0</v>
      </c>
      <c r="AG63">
        <v>0</v>
      </c>
      <c r="AH63">
        <v>0</v>
      </c>
      <c r="AI63">
        <v>0.91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6</v>
      </c>
      <c r="AT63">
        <v>5.0000000000000001E-3</v>
      </c>
      <c r="AU63" t="s">
        <v>6</v>
      </c>
      <c r="AV63">
        <v>0</v>
      </c>
      <c r="AW63">
        <v>2</v>
      </c>
      <c r="AX63">
        <v>41854090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0.93689999999999996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1</v>
      </c>
      <c r="BQ63">
        <v>0.93689999999999996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1</v>
      </c>
      <c r="CV63">
        <v>0</v>
      </c>
      <c r="CW63">
        <v>0</v>
      </c>
      <c r="CX63">
        <f>ROUND(Y63*Source!I245,7)</f>
        <v>0.04</v>
      </c>
      <c r="CY63">
        <f t="shared" si="29"/>
        <v>170.52</v>
      </c>
      <c r="CZ63">
        <f t="shared" si="30"/>
        <v>187.38</v>
      </c>
      <c r="DA63">
        <f t="shared" si="31"/>
        <v>0.91</v>
      </c>
      <c r="DB63">
        <f t="shared" si="25"/>
        <v>0.94</v>
      </c>
      <c r="DC63">
        <f t="shared" si="26"/>
        <v>0</v>
      </c>
      <c r="DD63" t="s">
        <v>6</v>
      </c>
      <c r="DE63" t="s">
        <v>6</v>
      </c>
      <c r="DF63">
        <f>ROUND(ROUND(AE63*AI63,2)*CX63,2)</f>
        <v>6.82</v>
      </c>
      <c r="DG63">
        <f t="shared" si="27"/>
        <v>0</v>
      </c>
      <c r="DH63">
        <f t="shared" si="20"/>
        <v>0</v>
      </c>
      <c r="DI63">
        <f t="shared" si="21"/>
        <v>0</v>
      </c>
      <c r="DJ63">
        <f t="shared" si="32"/>
        <v>6.82</v>
      </c>
      <c r="DK63">
        <v>0</v>
      </c>
      <c r="DL63" t="s">
        <v>6</v>
      </c>
      <c r="DM63">
        <v>0</v>
      </c>
      <c r="DN63" t="s">
        <v>6</v>
      </c>
      <c r="DO63">
        <v>0</v>
      </c>
    </row>
    <row r="64" spans="1:119">
      <c r="A64">
        <f>ROW(Source!A245)</f>
        <v>245</v>
      </c>
      <c r="B64">
        <v>41853493</v>
      </c>
      <c r="C64">
        <v>41854082</v>
      </c>
      <c r="D64">
        <v>40993972</v>
      </c>
      <c r="E64">
        <v>1</v>
      </c>
      <c r="F64">
        <v>1</v>
      </c>
      <c r="G64">
        <v>1</v>
      </c>
      <c r="H64">
        <v>3</v>
      </c>
      <c r="I64" t="s">
        <v>388</v>
      </c>
      <c r="J64" t="s">
        <v>389</v>
      </c>
      <c r="K64" t="s">
        <v>390</v>
      </c>
      <c r="L64">
        <v>1383</v>
      </c>
      <c r="N64">
        <v>1013</v>
      </c>
      <c r="O64" t="s">
        <v>391</v>
      </c>
      <c r="P64" t="s">
        <v>391</v>
      </c>
      <c r="Q64">
        <v>1</v>
      </c>
      <c r="W64">
        <v>0</v>
      </c>
      <c r="X64">
        <v>-218356995</v>
      </c>
      <c r="Y64">
        <f t="shared" si="24"/>
        <v>2.0799999999999999E-2</v>
      </c>
      <c r="AA64">
        <v>6.45</v>
      </c>
      <c r="AB64">
        <v>0</v>
      </c>
      <c r="AC64">
        <v>0</v>
      </c>
      <c r="AD64">
        <v>0</v>
      </c>
      <c r="AE64">
        <v>6.45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6</v>
      </c>
      <c r="AT64">
        <v>2.0799999999999999E-2</v>
      </c>
      <c r="AU64" t="s">
        <v>6</v>
      </c>
      <c r="AV64">
        <v>0</v>
      </c>
      <c r="AW64">
        <v>2</v>
      </c>
      <c r="AX64">
        <v>41854091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0.13416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1</v>
      </c>
      <c r="BQ64">
        <v>0.13416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1</v>
      </c>
      <c r="CV64">
        <v>0</v>
      </c>
      <c r="CW64">
        <v>0</v>
      </c>
      <c r="CX64">
        <f>ROUND(Y64*Source!I245,7)</f>
        <v>0.16639999999999999</v>
      </c>
      <c r="CY64">
        <f t="shared" si="29"/>
        <v>6.45</v>
      </c>
      <c r="CZ64">
        <f t="shared" si="30"/>
        <v>6.45</v>
      </c>
      <c r="DA64">
        <f t="shared" si="31"/>
        <v>1</v>
      </c>
      <c r="DB64">
        <f t="shared" si="25"/>
        <v>0.13</v>
      </c>
      <c r="DC64">
        <f t="shared" si="26"/>
        <v>0</v>
      </c>
      <c r="DD64" t="s">
        <v>6</v>
      </c>
      <c r="DE64" t="s">
        <v>6</v>
      </c>
      <c r="DF64">
        <f>ROUND(ROUND(AE64,2)*CX64,2)</f>
        <v>1.07</v>
      </c>
      <c r="DG64">
        <f t="shared" si="27"/>
        <v>0</v>
      </c>
      <c r="DH64">
        <f t="shared" si="20"/>
        <v>0</v>
      </c>
      <c r="DI64">
        <f t="shared" si="21"/>
        <v>0</v>
      </c>
      <c r="DJ64">
        <f t="shared" si="32"/>
        <v>1.07</v>
      </c>
      <c r="DK64">
        <v>1</v>
      </c>
      <c r="DL64" t="s">
        <v>6</v>
      </c>
      <c r="DM64">
        <v>0</v>
      </c>
      <c r="DN64" t="s">
        <v>6</v>
      </c>
      <c r="DO64">
        <v>0</v>
      </c>
    </row>
    <row r="65" spans="1:119">
      <c r="A65">
        <f>ROW(Source!A245)</f>
        <v>245</v>
      </c>
      <c r="B65">
        <v>41853493</v>
      </c>
      <c r="C65">
        <v>41854082</v>
      </c>
      <c r="D65">
        <v>40994260</v>
      </c>
      <c r="E65">
        <v>1</v>
      </c>
      <c r="F65">
        <v>1</v>
      </c>
      <c r="G65">
        <v>1</v>
      </c>
      <c r="H65">
        <v>3</v>
      </c>
      <c r="I65" t="s">
        <v>392</v>
      </c>
      <c r="J65" t="s">
        <v>393</v>
      </c>
      <c r="K65" t="s">
        <v>394</v>
      </c>
      <c r="L65">
        <v>1301</v>
      </c>
      <c r="N65">
        <v>1003</v>
      </c>
      <c r="O65" t="s">
        <v>135</v>
      </c>
      <c r="P65" t="s">
        <v>135</v>
      </c>
      <c r="Q65">
        <v>1</v>
      </c>
      <c r="W65">
        <v>0</v>
      </c>
      <c r="X65">
        <v>971772098</v>
      </c>
      <c r="Y65">
        <f t="shared" si="24"/>
        <v>4</v>
      </c>
      <c r="AA65">
        <v>6.63</v>
      </c>
      <c r="AB65">
        <v>0</v>
      </c>
      <c r="AC65">
        <v>0</v>
      </c>
      <c r="AD65">
        <v>0</v>
      </c>
      <c r="AE65">
        <v>5.87</v>
      </c>
      <c r="AF65">
        <v>0</v>
      </c>
      <c r="AG65">
        <v>0</v>
      </c>
      <c r="AH65">
        <v>0</v>
      </c>
      <c r="AI65">
        <v>1.1299999999999999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6</v>
      </c>
      <c r="AT65">
        <v>4</v>
      </c>
      <c r="AU65" t="s">
        <v>6</v>
      </c>
      <c r="AV65">
        <v>0</v>
      </c>
      <c r="AW65">
        <v>2</v>
      </c>
      <c r="AX65">
        <v>41854092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23.48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23.48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ROUND(Y65*Source!I245,7)</f>
        <v>32</v>
      </c>
      <c r="CY65">
        <f t="shared" si="29"/>
        <v>6.63</v>
      </c>
      <c r="CZ65">
        <f t="shared" si="30"/>
        <v>5.87</v>
      </c>
      <c r="DA65">
        <f t="shared" si="31"/>
        <v>1.1299999999999999</v>
      </c>
      <c r="DB65">
        <f t="shared" si="25"/>
        <v>23.48</v>
      </c>
      <c r="DC65">
        <f t="shared" si="26"/>
        <v>0</v>
      </c>
      <c r="DD65" t="s">
        <v>6</v>
      </c>
      <c r="DE65" t="s">
        <v>6</v>
      </c>
      <c r="DF65">
        <f t="shared" ref="DF65:DF73" si="33">ROUND(ROUND(AE65*AI65,2)*CX65,2)</f>
        <v>212.16</v>
      </c>
      <c r="DG65">
        <f t="shared" si="27"/>
        <v>0</v>
      </c>
      <c r="DH65">
        <f t="shared" ref="DH65:DH96" si="34">ROUND(ROUND(AG65,2)*CX65,2)</f>
        <v>0</v>
      </c>
      <c r="DI65">
        <f t="shared" ref="DI65:DI96" si="35">ROUND(ROUND(AH65,2)*CX65,2)</f>
        <v>0</v>
      </c>
      <c r="DJ65">
        <f t="shared" si="32"/>
        <v>212.16</v>
      </c>
      <c r="DK65">
        <v>0</v>
      </c>
      <c r="DL65" t="s">
        <v>6</v>
      </c>
      <c r="DM65">
        <v>0</v>
      </c>
      <c r="DN65" t="s">
        <v>6</v>
      </c>
      <c r="DO65">
        <v>0</v>
      </c>
    </row>
    <row r="66" spans="1:119">
      <c r="A66">
        <f>ROW(Source!A245)</f>
        <v>245</v>
      </c>
      <c r="B66">
        <v>41853493</v>
      </c>
      <c r="C66">
        <v>41854082</v>
      </c>
      <c r="D66">
        <v>40995195</v>
      </c>
      <c r="E66">
        <v>1</v>
      </c>
      <c r="F66">
        <v>1</v>
      </c>
      <c r="G66">
        <v>1</v>
      </c>
      <c r="H66">
        <v>3</v>
      </c>
      <c r="I66" t="s">
        <v>341</v>
      </c>
      <c r="J66" t="s">
        <v>342</v>
      </c>
      <c r="K66" t="s">
        <v>343</v>
      </c>
      <c r="L66">
        <v>1346</v>
      </c>
      <c r="N66">
        <v>1009</v>
      </c>
      <c r="O66" t="s">
        <v>344</v>
      </c>
      <c r="P66" t="s">
        <v>344</v>
      </c>
      <c r="Q66">
        <v>1</v>
      </c>
      <c r="W66">
        <v>0</v>
      </c>
      <c r="X66">
        <v>-1545686836</v>
      </c>
      <c r="Y66">
        <f t="shared" si="24"/>
        <v>7.0000000000000007E-2</v>
      </c>
      <c r="AA66">
        <v>160.30000000000001</v>
      </c>
      <c r="AB66">
        <v>0</v>
      </c>
      <c r="AC66">
        <v>0</v>
      </c>
      <c r="AD66">
        <v>0</v>
      </c>
      <c r="AE66">
        <v>155.63</v>
      </c>
      <c r="AF66">
        <v>0</v>
      </c>
      <c r="AG66">
        <v>0</v>
      </c>
      <c r="AH66">
        <v>0</v>
      </c>
      <c r="AI66">
        <v>1.03</v>
      </c>
      <c r="AJ66">
        <v>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6</v>
      </c>
      <c r="AT66">
        <v>7.0000000000000007E-2</v>
      </c>
      <c r="AU66" t="s">
        <v>6</v>
      </c>
      <c r="AV66">
        <v>0</v>
      </c>
      <c r="AW66">
        <v>2</v>
      </c>
      <c r="AX66">
        <v>41854093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10.8941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10.8941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v>0</v>
      </c>
      <c r="CX66">
        <f>ROUND(Y66*Source!I245,7)</f>
        <v>0.56000000000000005</v>
      </c>
      <c r="CY66">
        <f t="shared" si="29"/>
        <v>160.30000000000001</v>
      </c>
      <c r="CZ66">
        <f t="shared" si="30"/>
        <v>155.63</v>
      </c>
      <c r="DA66">
        <f t="shared" si="31"/>
        <v>1.03</v>
      </c>
      <c r="DB66">
        <f t="shared" si="25"/>
        <v>10.89</v>
      </c>
      <c r="DC66">
        <f t="shared" si="26"/>
        <v>0</v>
      </c>
      <c r="DD66" t="s">
        <v>6</v>
      </c>
      <c r="DE66" t="s">
        <v>6</v>
      </c>
      <c r="DF66">
        <f t="shared" si="33"/>
        <v>89.77</v>
      </c>
      <c r="DG66">
        <f t="shared" si="27"/>
        <v>0</v>
      </c>
      <c r="DH66">
        <f t="shared" si="34"/>
        <v>0</v>
      </c>
      <c r="DI66">
        <f t="shared" si="35"/>
        <v>0</v>
      </c>
      <c r="DJ66">
        <f t="shared" si="32"/>
        <v>89.77</v>
      </c>
      <c r="DK66">
        <v>0</v>
      </c>
      <c r="DL66" t="s">
        <v>6</v>
      </c>
      <c r="DM66">
        <v>0</v>
      </c>
      <c r="DN66" t="s">
        <v>6</v>
      </c>
      <c r="DO66">
        <v>0</v>
      </c>
    </row>
    <row r="67" spans="1:119">
      <c r="A67">
        <f>ROW(Source!A245)</f>
        <v>245</v>
      </c>
      <c r="B67">
        <v>41853493</v>
      </c>
      <c r="C67">
        <v>41854082</v>
      </c>
      <c r="D67">
        <v>40996264</v>
      </c>
      <c r="E67">
        <v>1</v>
      </c>
      <c r="F67">
        <v>1</v>
      </c>
      <c r="G67">
        <v>1</v>
      </c>
      <c r="H67">
        <v>3</v>
      </c>
      <c r="I67" t="s">
        <v>345</v>
      </c>
      <c r="J67" t="s">
        <v>346</v>
      </c>
      <c r="K67" t="s">
        <v>347</v>
      </c>
      <c r="L67">
        <v>1346</v>
      </c>
      <c r="N67">
        <v>1009</v>
      </c>
      <c r="O67" t="s">
        <v>344</v>
      </c>
      <c r="P67" t="s">
        <v>344</v>
      </c>
      <c r="Q67">
        <v>1</v>
      </c>
      <c r="W67">
        <v>0</v>
      </c>
      <c r="X67">
        <v>-385218612</v>
      </c>
      <c r="Y67">
        <f t="shared" si="24"/>
        <v>0.40100000000000002</v>
      </c>
      <c r="AA67">
        <v>194.17</v>
      </c>
      <c r="AB67">
        <v>0</v>
      </c>
      <c r="AC67">
        <v>0</v>
      </c>
      <c r="AD67">
        <v>0</v>
      </c>
      <c r="AE67">
        <v>174.93</v>
      </c>
      <c r="AF67">
        <v>0</v>
      </c>
      <c r="AG67">
        <v>0</v>
      </c>
      <c r="AH67">
        <v>0</v>
      </c>
      <c r="AI67">
        <v>1.1100000000000001</v>
      </c>
      <c r="AJ67">
        <v>1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6</v>
      </c>
      <c r="AT67">
        <v>0.40100000000000002</v>
      </c>
      <c r="AU67" t="s">
        <v>6</v>
      </c>
      <c r="AV67">
        <v>0</v>
      </c>
      <c r="AW67">
        <v>2</v>
      </c>
      <c r="AX67">
        <v>41854094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70.146930000000012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70.146930000000012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v>0</v>
      </c>
      <c r="CX67">
        <f>ROUND(Y67*Source!I245,7)</f>
        <v>3.2080000000000002</v>
      </c>
      <c r="CY67">
        <f t="shared" si="29"/>
        <v>194.17</v>
      </c>
      <c r="CZ67">
        <f t="shared" si="30"/>
        <v>174.93</v>
      </c>
      <c r="DA67">
        <f t="shared" si="31"/>
        <v>1.1100000000000001</v>
      </c>
      <c r="DB67">
        <f t="shared" si="25"/>
        <v>70.150000000000006</v>
      </c>
      <c r="DC67">
        <f t="shared" si="26"/>
        <v>0</v>
      </c>
      <c r="DD67" t="s">
        <v>6</v>
      </c>
      <c r="DE67" t="s">
        <v>6</v>
      </c>
      <c r="DF67">
        <f t="shared" si="33"/>
        <v>622.9</v>
      </c>
      <c r="DG67">
        <f t="shared" si="27"/>
        <v>0</v>
      </c>
      <c r="DH67">
        <f t="shared" si="34"/>
        <v>0</v>
      </c>
      <c r="DI67">
        <f t="shared" si="35"/>
        <v>0</v>
      </c>
      <c r="DJ67">
        <f t="shared" si="32"/>
        <v>622.9</v>
      </c>
      <c r="DK67">
        <v>0</v>
      </c>
      <c r="DL67" t="s">
        <v>6</v>
      </c>
      <c r="DM67">
        <v>0</v>
      </c>
      <c r="DN67" t="s">
        <v>6</v>
      </c>
      <c r="DO67">
        <v>0</v>
      </c>
    </row>
    <row r="68" spans="1:119">
      <c r="A68">
        <f>ROW(Source!A245)</f>
        <v>245</v>
      </c>
      <c r="B68">
        <v>41853493</v>
      </c>
      <c r="C68">
        <v>41854082</v>
      </c>
      <c r="D68">
        <v>40996385</v>
      </c>
      <c r="E68">
        <v>1</v>
      </c>
      <c r="F68">
        <v>1</v>
      </c>
      <c r="G68">
        <v>1</v>
      </c>
      <c r="H68">
        <v>3</v>
      </c>
      <c r="I68" t="s">
        <v>395</v>
      </c>
      <c r="J68" t="s">
        <v>396</v>
      </c>
      <c r="K68" t="s">
        <v>397</v>
      </c>
      <c r="L68">
        <v>1425</v>
      </c>
      <c r="N68">
        <v>1013</v>
      </c>
      <c r="O68" t="s">
        <v>44</v>
      </c>
      <c r="P68" t="s">
        <v>44</v>
      </c>
      <c r="Q68">
        <v>1</v>
      </c>
      <c r="W68">
        <v>0</v>
      </c>
      <c r="X68">
        <v>2015670240</v>
      </c>
      <c r="Y68">
        <f t="shared" si="24"/>
        <v>1.4E-2</v>
      </c>
      <c r="AA68">
        <v>48.38</v>
      </c>
      <c r="AB68">
        <v>0</v>
      </c>
      <c r="AC68">
        <v>0</v>
      </c>
      <c r="AD68">
        <v>0</v>
      </c>
      <c r="AE68">
        <v>41.71</v>
      </c>
      <c r="AF68">
        <v>0</v>
      </c>
      <c r="AG68">
        <v>0</v>
      </c>
      <c r="AH68">
        <v>0</v>
      </c>
      <c r="AI68">
        <v>1.1599999999999999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6</v>
      </c>
      <c r="AT68">
        <v>1.4E-2</v>
      </c>
      <c r="AU68" t="s">
        <v>6</v>
      </c>
      <c r="AV68">
        <v>0</v>
      </c>
      <c r="AW68">
        <v>2</v>
      </c>
      <c r="AX68">
        <v>41854095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0.58394000000000001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0.58394000000000001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1</v>
      </c>
      <c r="CV68">
        <v>0</v>
      </c>
      <c r="CW68">
        <v>0</v>
      </c>
      <c r="CX68">
        <f>ROUND(Y68*Source!I245,7)</f>
        <v>0.112</v>
      </c>
      <c r="CY68">
        <f t="shared" si="29"/>
        <v>48.38</v>
      </c>
      <c r="CZ68">
        <f t="shared" si="30"/>
        <v>41.71</v>
      </c>
      <c r="DA68">
        <f t="shared" si="31"/>
        <v>1.1599999999999999</v>
      </c>
      <c r="DB68">
        <f t="shared" si="25"/>
        <v>0.57999999999999996</v>
      </c>
      <c r="DC68">
        <f t="shared" si="26"/>
        <v>0</v>
      </c>
      <c r="DD68" t="s">
        <v>6</v>
      </c>
      <c r="DE68" t="s">
        <v>6</v>
      </c>
      <c r="DF68">
        <f t="shared" si="33"/>
        <v>5.42</v>
      </c>
      <c r="DG68">
        <f t="shared" si="27"/>
        <v>0</v>
      </c>
      <c r="DH68">
        <f t="shared" si="34"/>
        <v>0</v>
      </c>
      <c r="DI68">
        <f t="shared" si="35"/>
        <v>0</v>
      </c>
      <c r="DJ68">
        <f t="shared" si="32"/>
        <v>5.42</v>
      </c>
      <c r="DK68">
        <v>0</v>
      </c>
      <c r="DL68" t="s">
        <v>6</v>
      </c>
      <c r="DM68">
        <v>0</v>
      </c>
      <c r="DN68" t="s">
        <v>6</v>
      </c>
      <c r="DO68">
        <v>0</v>
      </c>
    </row>
    <row r="69" spans="1:119">
      <c r="A69">
        <f>ROW(Source!A245)</f>
        <v>245</v>
      </c>
      <c r="B69">
        <v>41853493</v>
      </c>
      <c r="C69">
        <v>41854082</v>
      </c>
      <c r="D69">
        <v>40998128</v>
      </c>
      <c r="E69">
        <v>1</v>
      </c>
      <c r="F69">
        <v>1</v>
      </c>
      <c r="G69">
        <v>1</v>
      </c>
      <c r="H69">
        <v>3</v>
      </c>
      <c r="I69" t="s">
        <v>398</v>
      </c>
      <c r="J69" t="s">
        <v>399</v>
      </c>
      <c r="K69" t="s">
        <v>400</v>
      </c>
      <c r="L69">
        <v>1346</v>
      </c>
      <c r="N69">
        <v>1009</v>
      </c>
      <c r="O69" t="s">
        <v>344</v>
      </c>
      <c r="P69" t="s">
        <v>344</v>
      </c>
      <c r="Q69">
        <v>1</v>
      </c>
      <c r="W69">
        <v>0</v>
      </c>
      <c r="X69">
        <v>-1121814016</v>
      </c>
      <c r="Y69">
        <f t="shared" si="24"/>
        <v>4.0000000000000001E-3</v>
      </c>
      <c r="AA69">
        <v>755.69</v>
      </c>
      <c r="AB69">
        <v>0</v>
      </c>
      <c r="AC69">
        <v>0</v>
      </c>
      <c r="AD69">
        <v>0</v>
      </c>
      <c r="AE69">
        <v>395.65</v>
      </c>
      <c r="AF69">
        <v>0</v>
      </c>
      <c r="AG69">
        <v>0</v>
      </c>
      <c r="AH69">
        <v>0</v>
      </c>
      <c r="AI69">
        <v>1.91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6</v>
      </c>
      <c r="AT69">
        <v>4.0000000000000001E-3</v>
      </c>
      <c r="AU69" t="s">
        <v>6</v>
      </c>
      <c r="AV69">
        <v>0</v>
      </c>
      <c r="AW69">
        <v>2</v>
      </c>
      <c r="AX69">
        <v>41854096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1.5826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1.5826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1</v>
      </c>
      <c r="CV69">
        <v>0</v>
      </c>
      <c r="CW69">
        <v>0</v>
      </c>
      <c r="CX69">
        <f>ROUND(Y69*Source!I245,7)</f>
        <v>3.2000000000000001E-2</v>
      </c>
      <c r="CY69">
        <f t="shared" si="29"/>
        <v>755.69</v>
      </c>
      <c r="CZ69">
        <f t="shared" si="30"/>
        <v>395.65</v>
      </c>
      <c r="DA69">
        <f t="shared" si="31"/>
        <v>1.91</v>
      </c>
      <c r="DB69">
        <f t="shared" si="25"/>
        <v>1.58</v>
      </c>
      <c r="DC69">
        <f t="shared" si="26"/>
        <v>0</v>
      </c>
      <c r="DD69" t="s">
        <v>6</v>
      </c>
      <c r="DE69" t="s">
        <v>6</v>
      </c>
      <c r="DF69">
        <f t="shared" si="33"/>
        <v>24.18</v>
      </c>
      <c r="DG69">
        <f t="shared" si="27"/>
        <v>0</v>
      </c>
      <c r="DH69">
        <f t="shared" si="34"/>
        <v>0</v>
      </c>
      <c r="DI69">
        <f t="shared" si="35"/>
        <v>0</v>
      </c>
      <c r="DJ69">
        <f t="shared" si="32"/>
        <v>24.18</v>
      </c>
      <c r="DK69">
        <v>0</v>
      </c>
      <c r="DL69" t="s">
        <v>6</v>
      </c>
      <c r="DM69">
        <v>0</v>
      </c>
      <c r="DN69" t="s">
        <v>6</v>
      </c>
      <c r="DO69">
        <v>0</v>
      </c>
    </row>
    <row r="70" spans="1:119">
      <c r="A70">
        <f>ROW(Source!A245)</f>
        <v>245</v>
      </c>
      <c r="B70">
        <v>41853493</v>
      </c>
      <c r="C70">
        <v>41854082</v>
      </c>
      <c r="D70">
        <v>41004163</v>
      </c>
      <c r="E70">
        <v>1</v>
      </c>
      <c r="F70">
        <v>1</v>
      </c>
      <c r="G70">
        <v>1</v>
      </c>
      <c r="H70">
        <v>3</v>
      </c>
      <c r="I70" t="s">
        <v>358</v>
      </c>
      <c r="J70" t="s">
        <v>359</v>
      </c>
      <c r="K70" t="s">
        <v>360</v>
      </c>
      <c r="L70">
        <v>1348</v>
      </c>
      <c r="N70">
        <v>1009</v>
      </c>
      <c r="O70" t="s">
        <v>37</v>
      </c>
      <c r="P70" t="s">
        <v>37</v>
      </c>
      <c r="Q70">
        <v>1000</v>
      </c>
      <c r="W70">
        <v>0</v>
      </c>
      <c r="X70">
        <v>-1588183596</v>
      </c>
      <c r="Y70">
        <f t="shared" si="24"/>
        <v>5.0000000000000001E-3</v>
      </c>
      <c r="AA70">
        <v>116859.48</v>
      </c>
      <c r="AB70">
        <v>0</v>
      </c>
      <c r="AC70">
        <v>0</v>
      </c>
      <c r="AD70">
        <v>0</v>
      </c>
      <c r="AE70">
        <v>105278.81</v>
      </c>
      <c r="AF70">
        <v>0</v>
      </c>
      <c r="AG70">
        <v>0</v>
      </c>
      <c r="AH70">
        <v>0</v>
      </c>
      <c r="AI70">
        <v>1.1100000000000001</v>
      </c>
      <c r="AJ70">
        <v>1</v>
      </c>
      <c r="AK70">
        <v>1</v>
      </c>
      <c r="AL70">
        <v>1</v>
      </c>
      <c r="AM70">
        <v>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6</v>
      </c>
      <c r="AT70">
        <v>5.0000000000000001E-3</v>
      </c>
      <c r="AU70" t="s">
        <v>6</v>
      </c>
      <c r="AV70">
        <v>0</v>
      </c>
      <c r="AW70">
        <v>2</v>
      </c>
      <c r="AX70">
        <v>41854097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526.39404999999999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526.39404999999999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1</v>
      </c>
      <c r="CV70">
        <v>0</v>
      </c>
      <c r="CW70">
        <v>0</v>
      </c>
      <c r="CX70">
        <f>ROUND(Y70*Source!I245,7)</f>
        <v>0.04</v>
      </c>
      <c r="CY70">
        <f t="shared" si="29"/>
        <v>116859.48</v>
      </c>
      <c r="CZ70">
        <f t="shared" si="30"/>
        <v>105278.81</v>
      </c>
      <c r="DA70">
        <f t="shared" si="31"/>
        <v>1.1100000000000001</v>
      </c>
      <c r="DB70">
        <f t="shared" si="25"/>
        <v>526.39</v>
      </c>
      <c r="DC70">
        <f t="shared" si="26"/>
        <v>0</v>
      </c>
      <c r="DD70" t="s">
        <v>6</v>
      </c>
      <c r="DE70" t="s">
        <v>6</v>
      </c>
      <c r="DF70">
        <f t="shared" si="33"/>
        <v>4674.38</v>
      </c>
      <c r="DG70">
        <f t="shared" si="27"/>
        <v>0</v>
      </c>
      <c r="DH70">
        <f t="shared" si="34"/>
        <v>0</v>
      </c>
      <c r="DI70">
        <f t="shared" si="35"/>
        <v>0</v>
      </c>
      <c r="DJ70">
        <f t="shared" si="32"/>
        <v>4674.38</v>
      </c>
      <c r="DK70">
        <v>0</v>
      </c>
      <c r="DL70" t="s">
        <v>6</v>
      </c>
      <c r="DM70">
        <v>0</v>
      </c>
      <c r="DN70" t="s">
        <v>6</v>
      </c>
      <c r="DO70">
        <v>0</v>
      </c>
    </row>
    <row r="71" spans="1:119">
      <c r="A71">
        <f>ROW(Source!A245)</f>
        <v>245</v>
      </c>
      <c r="B71">
        <v>41853493</v>
      </c>
      <c r="C71">
        <v>41854082</v>
      </c>
      <c r="D71">
        <v>41024880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1346</v>
      </c>
      <c r="N71">
        <v>1009</v>
      </c>
      <c r="O71" t="s">
        <v>344</v>
      </c>
      <c r="P71" t="s">
        <v>344</v>
      </c>
      <c r="Q71">
        <v>1</v>
      </c>
      <c r="W71">
        <v>0</v>
      </c>
      <c r="X71">
        <v>50985725</v>
      </c>
      <c r="Y71">
        <f t="shared" si="24"/>
        <v>5.3999999999999999E-2</v>
      </c>
      <c r="AA71">
        <v>109.44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1.37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6</v>
      </c>
      <c r="AT71">
        <v>5.3999999999999999E-2</v>
      </c>
      <c r="AU71" t="s">
        <v>6</v>
      </c>
      <c r="AV71">
        <v>0</v>
      </c>
      <c r="AW71">
        <v>2</v>
      </c>
      <c r="AX71">
        <v>41854098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4.3135199999999996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4.3135199999999996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1</v>
      </c>
      <c r="CV71">
        <v>0</v>
      </c>
      <c r="CW71">
        <v>0</v>
      </c>
      <c r="CX71">
        <f>ROUND(Y71*Source!I245,7)</f>
        <v>0.432</v>
      </c>
      <c r="CY71">
        <f t="shared" si="29"/>
        <v>109.44</v>
      </c>
      <c r="CZ71">
        <f t="shared" si="30"/>
        <v>79.88</v>
      </c>
      <c r="DA71">
        <f t="shared" si="31"/>
        <v>1.37</v>
      </c>
      <c r="DB71">
        <f t="shared" si="25"/>
        <v>4.3099999999999996</v>
      </c>
      <c r="DC71">
        <f t="shared" si="26"/>
        <v>0</v>
      </c>
      <c r="DD71" t="s">
        <v>6</v>
      </c>
      <c r="DE71" t="s">
        <v>6</v>
      </c>
      <c r="DF71">
        <f t="shared" si="33"/>
        <v>47.28</v>
      </c>
      <c r="DG71">
        <f t="shared" si="27"/>
        <v>0</v>
      </c>
      <c r="DH71">
        <f t="shared" si="34"/>
        <v>0</v>
      </c>
      <c r="DI71">
        <f t="shared" si="35"/>
        <v>0</v>
      </c>
      <c r="DJ71">
        <f t="shared" si="32"/>
        <v>47.28</v>
      </c>
      <c r="DK71">
        <v>0</v>
      </c>
      <c r="DL71" t="s">
        <v>6</v>
      </c>
      <c r="DM71">
        <v>0</v>
      </c>
      <c r="DN71" t="s">
        <v>6</v>
      </c>
      <c r="DO71">
        <v>0</v>
      </c>
    </row>
    <row r="72" spans="1:119">
      <c r="A72">
        <f>ROW(Source!A245)</f>
        <v>245</v>
      </c>
      <c r="B72">
        <v>41853493</v>
      </c>
      <c r="C72">
        <v>41854082</v>
      </c>
      <c r="D72">
        <v>41024940</v>
      </c>
      <c r="E72">
        <v>1</v>
      </c>
      <c r="F72">
        <v>1</v>
      </c>
      <c r="G72">
        <v>1</v>
      </c>
      <c r="H72">
        <v>3</v>
      </c>
      <c r="I72" t="s">
        <v>401</v>
      </c>
      <c r="J72" t="s">
        <v>402</v>
      </c>
      <c r="K72" t="s">
        <v>403</v>
      </c>
      <c r="L72">
        <v>1346</v>
      </c>
      <c r="N72">
        <v>1009</v>
      </c>
      <c r="O72" t="s">
        <v>344</v>
      </c>
      <c r="P72" t="s">
        <v>344</v>
      </c>
      <c r="Q72">
        <v>1</v>
      </c>
      <c r="W72">
        <v>0</v>
      </c>
      <c r="X72">
        <v>1160310375</v>
      </c>
      <c r="Y72">
        <f t="shared" si="24"/>
        <v>1.2E-2</v>
      </c>
      <c r="AA72">
        <v>155.62</v>
      </c>
      <c r="AB72">
        <v>0</v>
      </c>
      <c r="AC72">
        <v>0</v>
      </c>
      <c r="AD72">
        <v>0</v>
      </c>
      <c r="AE72">
        <v>135.32</v>
      </c>
      <c r="AF72">
        <v>0</v>
      </c>
      <c r="AG72">
        <v>0</v>
      </c>
      <c r="AH72">
        <v>0</v>
      </c>
      <c r="AI72">
        <v>1.1499999999999999</v>
      </c>
      <c r="AJ72">
        <v>1</v>
      </c>
      <c r="AK72">
        <v>1</v>
      </c>
      <c r="AL72">
        <v>1</v>
      </c>
      <c r="AM72">
        <v>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6</v>
      </c>
      <c r="AT72">
        <v>1.2E-2</v>
      </c>
      <c r="AU72" t="s">
        <v>6</v>
      </c>
      <c r="AV72">
        <v>0</v>
      </c>
      <c r="AW72">
        <v>2</v>
      </c>
      <c r="AX72">
        <v>41854099</v>
      </c>
      <c r="AY72">
        <v>1</v>
      </c>
      <c r="AZ72">
        <v>0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1.62384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1</v>
      </c>
      <c r="BQ72">
        <v>1.62384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1</v>
      </c>
      <c r="CV72">
        <v>0</v>
      </c>
      <c r="CW72">
        <v>0</v>
      </c>
      <c r="CX72">
        <f>ROUND(Y72*Source!I245,7)</f>
        <v>9.6000000000000002E-2</v>
      </c>
      <c r="CY72">
        <f t="shared" si="29"/>
        <v>155.62</v>
      </c>
      <c r="CZ72">
        <f t="shared" si="30"/>
        <v>135.32</v>
      </c>
      <c r="DA72">
        <f t="shared" si="31"/>
        <v>1.1499999999999999</v>
      </c>
      <c r="DB72">
        <f t="shared" si="25"/>
        <v>1.62</v>
      </c>
      <c r="DC72">
        <f t="shared" si="26"/>
        <v>0</v>
      </c>
      <c r="DD72" t="s">
        <v>6</v>
      </c>
      <c r="DE72" t="s">
        <v>6</v>
      </c>
      <c r="DF72">
        <f t="shared" si="33"/>
        <v>14.94</v>
      </c>
      <c r="DG72">
        <f t="shared" si="27"/>
        <v>0</v>
      </c>
      <c r="DH72">
        <f t="shared" si="34"/>
        <v>0</v>
      </c>
      <c r="DI72">
        <f t="shared" si="35"/>
        <v>0</v>
      </c>
      <c r="DJ72">
        <f t="shared" si="32"/>
        <v>14.94</v>
      </c>
      <c r="DK72">
        <v>0</v>
      </c>
      <c r="DL72" t="s">
        <v>6</v>
      </c>
      <c r="DM72">
        <v>0</v>
      </c>
      <c r="DN72" t="s">
        <v>6</v>
      </c>
      <c r="DO72">
        <v>0</v>
      </c>
    </row>
    <row r="73" spans="1:119">
      <c r="A73">
        <f>ROW(Source!A245)</f>
        <v>245</v>
      </c>
      <c r="B73">
        <v>41853493</v>
      </c>
      <c r="C73">
        <v>41854082</v>
      </c>
      <c r="D73">
        <v>41036706</v>
      </c>
      <c r="E73">
        <v>1</v>
      </c>
      <c r="F73">
        <v>1</v>
      </c>
      <c r="G73">
        <v>1</v>
      </c>
      <c r="H73">
        <v>3</v>
      </c>
      <c r="I73" t="s">
        <v>375</v>
      </c>
      <c r="J73" t="s">
        <v>376</v>
      </c>
      <c r="K73" t="s">
        <v>377</v>
      </c>
      <c r="L73">
        <v>1455</v>
      </c>
      <c r="N73">
        <v>1013</v>
      </c>
      <c r="O73" t="s">
        <v>378</v>
      </c>
      <c r="P73" t="s">
        <v>378</v>
      </c>
      <c r="Q73">
        <v>1</v>
      </c>
      <c r="W73">
        <v>0</v>
      </c>
      <c r="X73">
        <v>1465968117</v>
      </c>
      <c r="Y73">
        <f t="shared" si="24"/>
        <v>0.1</v>
      </c>
      <c r="AA73">
        <v>991.92</v>
      </c>
      <c r="AB73">
        <v>0</v>
      </c>
      <c r="AC73">
        <v>0</v>
      </c>
      <c r="AD73">
        <v>0</v>
      </c>
      <c r="AE73">
        <v>944.69</v>
      </c>
      <c r="AF73">
        <v>0</v>
      </c>
      <c r="AG73">
        <v>0</v>
      </c>
      <c r="AH73">
        <v>0</v>
      </c>
      <c r="AI73">
        <v>1.05</v>
      </c>
      <c r="AJ73">
        <v>1</v>
      </c>
      <c r="AK73">
        <v>1</v>
      </c>
      <c r="AL73">
        <v>1</v>
      </c>
      <c r="AM73">
        <v>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6</v>
      </c>
      <c r="AT73">
        <v>0.1</v>
      </c>
      <c r="AU73" t="s">
        <v>6</v>
      </c>
      <c r="AV73">
        <v>0</v>
      </c>
      <c r="AW73">
        <v>2</v>
      </c>
      <c r="AX73">
        <v>41854100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94.469000000000008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1</v>
      </c>
      <c r="BQ73">
        <v>94.469000000000008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1</v>
      </c>
      <c r="CV73">
        <v>0</v>
      </c>
      <c r="CW73">
        <v>0</v>
      </c>
      <c r="CX73">
        <f>ROUND(Y73*Source!I245,7)</f>
        <v>0.8</v>
      </c>
      <c r="CY73">
        <f t="shared" si="29"/>
        <v>991.92</v>
      </c>
      <c r="CZ73">
        <f t="shared" si="30"/>
        <v>944.69</v>
      </c>
      <c r="DA73">
        <f t="shared" si="31"/>
        <v>1.05</v>
      </c>
      <c r="DB73">
        <f t="shared" si="25"/>
        <v>94.47</v>
      </c>
      <c r="DC73">
        <f t="shared" si="26"/>
        <v>0</v>
      </c>
      <c r="DD73" t="s">
        <v>6</v>
      </c>
      <c r="DE73" t="s">
        <v>6</v>
      </c>
      <c r="DF73">
        <f t="shared" si="33"/>
        <v>793.54</v>
      </c>
      <c r="DG73">
        <f t="shared" si="27"/>
        <v>0</v>
      </c>
      <c r="DH73">
        <f t="shared" si="34"/>
        <v>0</v>
      </c>
      <c r="DI73">
        <f t="shared" si="35"/>
        <v>0</v>
      </c>
      <c r="DJ73">
        <f t="shared" si="32"/>
        <v>793.54</v>
      </c>
      <c r="DK73">
        <v>0</v>
      </c>
      <c r="DL73" t="s">
        <v>6</v>
      </c>
      <c r="DM73">
        <v>0</v>
      </c>
      <c r="DN73" t="s">
        <v>6</v>
      </c>
      <c r="DO73">
        <v>0</v>
      </c>
    </row>
    <row r="74" spans="1:119">
      <c r="A74">
        <f>ROW(Source!A245)</f>
        <v>245</v>
      </c>
      <c r="B74">
        <v>41853493</v>
      </c>
      <c r="C74">
        <v>41854082</v>
      </c>
      <c r="D74">
        <v>40676108</v>
      </c>
      <c r="E74">
        <v>108</v>
      </c>
      <c r="F74">
        <v>1</v>
      </c>
      <c r="G74">
        <v>1</v>
      </c>
      <c r="H74">
        <v>3</v>
      </c>
      <c r="I74" t="s">
        <v>28</v>
      </c>
      <c r="J74" t="s">
        <v>6</v>
      </c>
      <c r="K74" t="s">
        <v>29</v>
      </c>
      <c r="L74">
        <v>3277935</v>
      </c>
      <c r="N74">
        <v>1013</v>
      </c>
      <c r="O74" t="s">
        <v>30</v>
      </c>
      <c r="P74" t="s">
        <v>30</v>
      </c>
      <c r="Q74">
        <v>1</v>
      </c>
      <c r="W74">
        <v>0</v>
      </c>
      <c r="X74">
        <v>274903907</v>
      </c>
      <c r="Y74">
        <f t="shared" si="24"/>
        <v>2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6</v>
      </c>
      <c r="AT74">
        <v>2</v>
      </c>
      <c r="AU74" t="s">
        <v>6</v>
      </c>
      <c r="AV74">
        <v>0</v>
      </c>
      <c r="AW74">
        <v>2</v>
      </c>
      <c r="AX74">
        <v>41854101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ROUND(Y74*Source!I245,7)</f>
        <v>16</v>
      </c>
      <c r="CY74">
        <f t="shared" si="29"/>
        <v>0</v>
      </c>
      <c r="CZ74">
        <f t="shared" si="30"/>
        <v>0</v>
      </c>
      <c r="DA74">
        <f t="shared" si="31"/>
        <v>1</v>
      </c>
      <c r="DB74">
        <f t="shared" si="25"/>
        <v>0</v>
      </c>
      <c r="DC74">
        <f t="shared" si="26"/>
        <v>0</v>
      </c>
      <c r="DD74" t="s">
        <v>6</v>
      </c>
      <c r="DE74" t="s">
        <v>6</v>
      </c>
      <c r="DF74">
        <f>ROUND(ROUND(AE74,2)*CX74,2)</f>
        <v>0</v>
      </c>
      <c r="DG74">
        <f t="shared" si="27"/>
        <v>0</v>
      </c>
      <c r="DH74">
        <f t="shared" si="34"/>
        <v>0</v>
      </c>
      <c r="DI74">
        <f t="shared" si="35"/>
        <v>0</v>
      </c>
      <c r="DJ74">
        <f t="shared" si="32"/>
        <v>0</v>
      </c>
      <c r="DK74">
        <v>0</v>
      </c>
      <c r="DL74" t="s">
        <v>6</v>
      </c>
      <c r="DM74">
        <v>0</v>
      </c>
      <c r="DN74" t="s">
        <v>6</v>
      </c>
      <c r="DO74">
        <v>0</v>
      </c>
    </row>
    <row r="75" spans="1:119">
      <c r="A75">
        <f>ROW(Source!A247)</f>
        <v>247</v>
      </c>
      <c r="B75">
        <v>41853493</v>
      </c>
      <c r="C75">
        <v>41854103</v>
      </c>
      <c r="D75">
        <v>40669973</v>
      </c>
      <c r="E75">
        <v>108</v>
      </c>
      <c r="F75">
        <v>1</v>
      </c>
      <c r="G75">
        <v>1</v>
      </c>
      <c r="H75">
        <v>1</v>
      </c>
      <c r="I75" t="s">
        <v>404</v>
      </c>
      <c r="J75" t="s">
        <v>6</v>
      </c>
      <c r="K75" t="s">
        <v>405</v>
      </c>
      <c r="L75">
        <v>1191</v>
      </c>
      <c r="N75">
        <v>1013</v>
      </c>
      <c r="O75" t="s">
        <v>321</v>
      </c>
      <c r="P75" t="s">
        <v>321</v>
      </c>
      <c r="Q75">
        <v>1</v>
      </c>
      <c r="W75">
        <v>0</v>
      </c>
      <c r="X75">
        <v>1608048003</v>
      </c>
      <c r="Y75">
        <f t="shared" si="24"/>
        <v>1.34</v>
      </c>
      <c r="AA75">
        <v>0</v>
      </c>
      <c r="AB75">
        <v>0</v>
      </c>
      <c r="AC75">
        <v>0</v>
      </c>
      <c r="AD75">
        <v>299.72000000000003</v>
      </c>
      <c r="AE75">
        <v>0</v>
      </c>
      <c r="AF75">
        <v>0</v>
      </c>
      <c r="AG75">
        <v>0</v>
      </c>
      <c r="AH75">
        <v>299.72000000000003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6</v>
      </c>
      <c r="AT75">
        <v>1.34</v>
      </c>
      <c r="AU75" t="s">
        <v>6</v>
      </c>
      <c r="AV75">
        <v>1</v>
      </c>
      <c r="AW75">
        <v>2</v>
      </c>
      <c r="AX75">
        <v>41854104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401.62480000000005</v>
      </c>
      <c r="BN75">
        <v>1.34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401.62480000000005</v>
      </c>
      <c r="BU75">
        <v>1.34</v>
      </c>
      <c r="BV75">
        <v>0</v>
      </c>
      <c r="BW75">
        <v>1</v>
      </c>
      <c r="CU75">
        <f>ROUND(AT75*Source!I247*AH75*AL75,2)</f>
        <v>401.62</v>
      </c>
      <c r="CV75">
        <f>ROUND(Y75*Source!I247,7)</f>
        <v>1.34</v>
      </c>
      <c r="CW75">
        <v>0</v>
      </c>
      <c r="CX75">
        <f>ROUND(Y75*Source!I247,7)</f>
        <v>1.34</v>
      </c>
      <c r="CY75">
        <f>AD75</f>
        <v>299.72000000000003</v>
      </c>
      <c r="CZ75">
        <f>AH75</f>
        <v>299.72000000000003</v>
      </c>
      <c r="DA75">
        <f>AL75</f>
        <v>1</v>
      </c>
      <c r="DB75">
        <f t="shared" si="25"/>
        <v>401.62</v>
      </c>
      <c r="DC75">
        <f t="shared" si="26"/>
        <v>0</v>
      </c>
      <c r="DD75" t="s">
        <v>6</v>
      </c>
      <c r="DE75" t="s">
        <v>6</v>
      </c>
      <c r="DF75">
        <f>ROUND(ROUND(AE75,2)*CX75,2)</f>
        <v>0</v>
      </c>
      <c r="DG75">
        <f t="shared" si="27"/>
        <v>0</v>
      </c>
      <c r="DH75">
        <f t="shared" si="34"/>
        <v>0</v>
      </c>
      <c r="DI75">
        <f t="shared" si="35"/>
        <v>401.62</v>
      </c>
      <c r="DJ75">
        <f>DI75</f>
        <v>401.62</v>
      </c>
      <c r="DK75">
        <v>1</v>
      </c>
      <c r="DL75" t="s">
        <v>6</v>
      </c>
      <c r="DM75">
        <v>0</v>
      </c>
      <c r="DN75" t="s">
        <v>6</v>
      </c>
      <c r="DO75">
        <v>0</v>
      </c>
    </row>
    <row r="76" spans="1:119">
      <c r="A76">
        <f>ROW(Source!A247)</f>
        <v>247</v>
      </c>
      <c r="B76">
        <v>41853493</v>
      </c>
      <c r="C76">
        <v>41854103</v>
      </c>
      <c r="D76">
        <v>40989496</v>
      </c>
      <c r="E76">
        <v>1</v>
      </c>
      <c r="F76">
        <v>1</v>
      </c>
      <c r="G76">
        <v>1</v>
      </c>
      <c r="H76">
        <v>2</v>
      </c>
      <c r="I76" t="s">
        <v>338</v>
      </c>
      <c r="J76" t="s">
        <v>339</v>
      </c>
      <c r="K76" t="s">
        <v>340</v>
      </c>
      <c r="L76">
        <v>1368</v>
      </c>
      <c r="N76">
        <v>1011</v>
      </c>
      <c r="O76" t="s">
        <v>327</v>
      </c>
      <c r="P76" t="s">
        <v>327</v>
      </c>
      <c r="Q76">
        <v>1</v>
      </c>
      <c r="W76">
        <v>0</v>
      </c>
      <c r="X76">
        <v>1280601743</v>
      </c>
      <c r="Y76">
        <f t="shared" si="24"/>
        <v>0.108</v>
      </c>
      <c r="AA76">
        <v>0</v>
      </c>
      <c r="AB76">
        <v>17.78</v>
      </c>
      <c r="AC76">
        <v>0</v>
      </c>
      <c r="AD76">
        <v>0</v>
      </c>
      <c r="AE76">
        <v>0</v>
      </c>
      <c r="AF76">
        <v>17.78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6</v>
      </c>
      <c r="AT76">
        <v>0.108</v>
      </c>
      <c r="AU76" t="s">
        <v>6</v>
      </c>
      <c r="AV76">
        <v>1</v>
      </c>
      <c r="AW76">
        <v>2</v>
      </c>
      <c r="AX76">
        <v>41854105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1.9202400000000002</v>
      </c>
      <c r="BL76">
        <v>0</v>
      </c>
      <c r="BM76">
        <v>0</v>
      </c>
      <c r="BN76">
        <v>0</v>
      </c>
      <c r="BO76">
        <v>0</v>
      </c>
      <c r="BP76">
        <v>1</v>
      </c>
      <c r="BQ76">
        <v>0</v>
      </c>
      <c r="BR76">
        <v>1.9202400000000002</v>
      </c>
      <c r="BS76">
        <v>0</v>
      </c>
      <c r="BT76">
        <v>0</v>
      </c>
      <c r="BU76">
        <v>0</v>
      </c>
      <c r="BV76">
        <v>0</v>
      </c>
      <c r="BW76">
        <v>1</v>
      </c>
      <c r="CV76">
        <v>0</v>
      </c>
      <c r="CW76">
        <f>ROUND(Y76*Source!I247,7)</f>
        <v>0.108</v>
      </c>
      <c r="CX76">
        <f>ROUND(Y76*Source!I247,7)</f>
        <v>0.108</v>
      </c>
      <c r="CY76">
        <f>AB76</f>
        <v>17.78</v>
      </c>
      <c r="CZ76">
        <f>AF76</f>
        <v>17.78</v>
      </c>
      <c r="DA76">
        <f>AJ76</f>
        <v>1</v>
      </c>
      <c r="DB76">
        <f t="shared" si="25"/>
        <v>1.92</v>
      </c>
      <c r="DC76">
        <f t="shared" si="26"/>
        <v>0</v>
      </c>
      <c r="DD76" t="s">
        <v>6</v>
      </c>
      <c r="DE76" t="s">
        <v>6</v>
      </c>
      <c r="DF76">
        <f>ROUND(ROUND(AE76,2)*CX76,2)</f>
        <v>0</v>
      </c>
      <c r="DG76">
        <f t="shared" si="27"/>
        <v>1.92</v>
      </c>
      <c r="DH76">
        <f t="shared" si="34"/>
        <v>0</v>
      </c>
      <c r="DI76">
        <f t="shared" si="35"/>
        <v>0</v>
      </c>
      <c r="DJ76">
        <f>DG76+DH76</f>
        <v>1.92</v>
      </c>
      <c r="DK76">
        <v>1</v>
      </c>
      <c r="DL76" t="s">
        <v>6</v>
      </c>
      <c r="DM76">
        <v>0</v>
      </c>
      <c r="DN76" t="s">
        <v>6</v>
      </c>
      <c r="DO76">
        <v>0</v>
      </c>
    </row>
    <row r="77" spans="1:119">
      <c r="A77">
        <f>ROW(Source!A247)</f>
        <v>247</v>
      </c>
      <c r="B77">
        <v>41853493</v>
      </c>
      <c r="C77">
        <v>41854103</v>
      </c>
      <c r="D77">
        <v>40990936</v>
      </c>
      <c r="E77">
        <v>1</v>
      </c>
      <c r="F77">
        <v>1</v>
      </c>
      <c r="G77">
        <v>1</v>
      </c>
      <c r="H77">
        <v>3</v>
      </c>
      <c r="I77" t="s">
        <v>382</v>
      </c>
      <c r="J77" t="s">
        <v>383</v>
      </c>
      <c r="K77" t="s">
        <v>384</v>
      </c>
      <c r="L77">
        <v>1346</v>
      </c>
      <c r="N77">
        <v>1009</v>
      </c>
      <c r="O77" t="s">
        <v>344</v>
      </c>
      <c r="P77" t="s">
        <v>344</v>
      </c>
      <c r="Q77">
        <v>1</v>
      </c>
      <c r="W77">
        <v>0</v>
      </c>
      <c r="X77">
        <v>1380577498</v>
      </c>
      <c r="Y77">
        <f t="shared" si="24"/>
        <v>6.0000000000000001E-3</v>
      </c>
      <c r="AA77">
        <v>225.06</v>
      </c>
      <c r="AB77">
        <v>0</v>
      </c>
      <c r="AC77">
        <v>0</v>
      </c>
      <c r="AD77">
        <v>0</v>
      </c>
      <c r="AE77">
        <v>150.04</v>
      </c>
      <c r="AF77">
        <v>0</v>
      </c>
      <c r="AG77">
        <v>0</v>
      </c>
      <c r="AH77">
        <v>0</v>
      </c>
      <c r="AI77">
        <v>1.5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6</v>
      </c>
      <c r="AT77">
        <v>6.0000000000000001E-3</v>
      </c>
      <c r="AU77" t="s">
        <v>6</v>
      </c>
      <c r="AV77">
        <v>0</v>
      </c>
      <c r="AW77">
        <v>2</v>
      </c>
      <c r="AX77">
        <v>41854106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0.90023999999999993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1</v>
      </c>
      <c r="BQ77">
        <v>0.90023999999999993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1</v>
      </c>
      <c r="CV77">
        <v>0</v>
      </c>
      <c r="CW77">
        <v>0</v>
      </c>
      <c r="CX77">
        <f>ROUND(Y77*Source!I247,7)</f>
        <v>6.0000000000000001E-3</v>
      </c>
      <c r="CY77">
        <f t="shared" ref="CY77:CY89" si="36">AA77</f>
        <v>225.06</v>
      </c>
      <c r="CZ77">
        <f t="shared" ref="CZ77:CZ89" si="37">AE77</f>
        <v>150.04</v>
      </c>
      <c r="DA77">
        <f t="shared" ref="DA77:DA89" si="38">AI77</f>
        <v>1.5</v>
      </c>
      <c r="DB77">
        <f t="shared" si="25"/>
        <v>0.9</v>
      </c>
      <c r="DC77">
        <f t="shared" si="26"/>
        <v>0</v>
      </c>
      <c r="DD77" t="s">
        <v>6</v>
      </c>
      <c r="DE77" t="s">
        <v>6</v>
      </c>
      <c r="DF77">
        <f>ROUND(ROUND(AE77*AI77,2)*CX77,2)</f>
        <v>1.35</v>
      </c>
      <c r="DG77">
        <f t="shared" si="27"/>
        <v>0</v>
      </c>
      <c r="DH77">
        <f t="shared" si="34"/>
        <v>0</v>
      </c>
      <c r="DI77">
        <f t="shared" si="35"/>
        <v>0</v>
      </c>
      <c r="DJ77">
        <f t="shared" ref="DJ77:DJ89" si="39">DF77</f>
        <v>1.35</v>
      </c>
      <c r="DK77">
        <v>0</v>
      </c>
      <c r="DL77" t="s">
        <v>6</v>
      </c>
      <c r="DM77">
        <v>0</v>
      </c>
      <c r="DN77" t="s">
        <v>6</v>
      </c>
      <c r="DO77">
        <v>0</v>
      </c>
    </row>
    <row r="78" spans="1:119">
      <c r="A78">
        <f>ROW(Source!A247)</f>
        <v>247</v>
      </c>
      <c r="B78">
        <v>41853493</v>
      </c>
      <c r="C78">
        <v>41854103</v>
      </c>
      <c r="D78">
        <v>40993947</v>
      </c>
      <c r="E78">
        <v>1</v>
      </c>
      <c r="F78">
        <v>1</v>
      </c>
      <c r="G78">
        <v>1</v>
      </c>
      <c r="H78">
        <v>3</v>
      </c>
      <c r="I78" t="s">
        <v>385</v>
      </c>
      <c r="J78" t="s">
        <v>386</v>
      </c>
      <c r="K78" t="s">
        <v>387</v>
      </c>
      <c r="L78">
        <v>1346</v>
      </c>
      <c r="N78">
        <v>1009</v>
      </c>
      <c r="O78" t="s">
        <v>344</v>
      </c>
      <c r="P78" t="s">
        <v>344</v>
      </c>
      <c r="Q78">
        <v>1</v>
      </c>
      <c r="W78">
        <v>0</v>
      </c>
      <c r="X78">
        <v>769317804</v>
      </c>
      <c r="Y78">
        <f t="shared" si="24"/>
        <v>1E-3</v>
      </c>
      <c r="AA78">
        <v>170.52</v>
      </c>
      <c r="AB78">
        <v>0</v>
      </c>
      <c r="AC78">
        <v>0</v>
      </c>
      <c r="AD78">
        <v>0</v>
      </c>
      <c r="AE78">
        <v>187.38</v>
      </c>
      <c r="AF78">
        <v>0</v>
      </c>
      <c r="AG78">
        <v>0</v>
      </c>
      <c r="AH78">
        <v>0</v>
      </c>
      <c r="AI78">
        <v>0.91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6</v>
      </c>
      <c r="AT78">
        <v>1E-3</v>
      </c>
      <c r="AU78" t="s">
        <v>6</v>
      </c>
      <c r="AV78">
        <v>0</v>
      </c>
      <c r="AW78">
        <v>2</v>
      </c>
      <c r="AX78">
        <v>41854107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0.18737999999999999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0.18737999999999999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1</v>
      </c>
      <c r="CV78">
        <v>0</v>
      </c>
      <c r="CW78">
        <v>0</v>
      </c>
      <c r="CX78">
        <f>ROUND(Y78*Source!I247,7)</f>
        <v>1E-3</v>
      </c>
      <c r="CY78">
        <f t="shared" si="36"/>
        <v>170.52</v>
      </c>
      <c r="CZ78">
        <f t="shared" si="37"/>
        <v>187.38</v>
      </c>
      <c r="DA78">
        <f t="shared" si="38"/>
        <v>0.91</v>
      </c>
      <c r="DB78">
        <f t="shared" si="25"/>
        <v>0.19</v>
      </c>
      <c r="DC78">
        <f t="shared" si="26"/>
        <v>0</v>
      </c>
      <c r="DD78" t="s">
        <v>6</v>
      </c>
      <c r="DE78" t="s">
        <v>6</v>
      </c>
      <c r="DF78">
        <f>ROUND(ROUND(AE78*AI78,2)*CX78,2)</f>
        <v>0.17</v>
      </c>
      <c r="DG78">
        <f t="shared" si="27"/>
        <v>0</v>
      </c>
      <c r="DH78">
        <f t="shared" si="34"/>
        <v>0</v>
      </c>
      <c r="DI78">
        <f t="shared" si="35"/>
        <v>0</v>
      </c>
      <c r="DJ78">
        <f t="shared" si="39"/>
        <v>0.17</v>
      </c>
      <c r="DK78">
        <v>0</v>
      </c>
      <c r="DL78" t="s">
        <v>6</v>
      </c>
      <c r="DM78">
        <v>0</v>
      </c>
      <c r="DN78" t="s">
        <v>6</v>
      </c>
      <c r="DO78">
        <v>0</v>
      </c>
    </row>
    <row r="79" spans="1:119">
      <c r="A79">
        <f>ROW(Source!A247)</f>
        <v>247</v>
      </c>
      <c r="B79">
        <v>41853493</v>
      </c>
      <c r="C79">
        <v>41854103</v>
      </c>
      <c r="D79">
        <v>40993972</v>
      </c>
      <c r="E79">
        <v>1</v>
      </c>
      <c r="F79">
        <v>1</v>
      </c>
      <c r="G79">
        <v>1</v>
      </c>
      <c r="H79">
        <v>3</v>
      </c>
      <c r="I79" t="s">
        <v>388</v>
      </c>
      <c r="J79" t="s">
        <v>389</v>
      </c>
      <c r="K79" t="s">
        <v>390</v>
      </c>
      <c r="L79">
        <v>1383</v>
      </c>
      <c r="N79">
        <v>1013</v>
      </c>
      <c r="O79" t="s">
        <v>391</v>
      </c>
      <c r="P79" t="s">
        <v>391</v>
      </c>
      <c r="Q79">
        <v>1</v>
      </c>
      <c r="W79">
        <v>0</v>
      </c>
      <c r="X79">
        <v>-218356995</v>
      </c>
      <c r="Y79">
        <f t="shared" si="24"/>
        <v>2.0799999999999999E-2</v>
      </c>
      <c r="AA79">
        <v>6.45</v>
      </c>
      <c r="AB79">
        <v>0</v>
      </c>
      <c r="AC79">
        <v>0</v>
      </c>
      <c r="AD79">
        <v>0</v>
      </c>
      <c r="AE79">
        <v>6.45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6</v>
      </c>
      <c r="AT79">
        <v>2.0799999999999999E-2</v>
      </c>
      <c r="AU79" t="s">
        <v>6</v>
      </c>
      <c r="AV79">
        <v>0</v>
      </c>
      <c r="AW79">
        <v>2</v>
      </c>
      <c r="AX79">
        <v>41854108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0.13416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0.13416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1</v>
      </c>
      <c r="CV79">
        <v>0</v>
      </c>
      <c r="CW79">
        <v>0</v>
      </c>
      <c r="CX79">
        <f>ROUND(Y79*Source!I247,7)</f>
        <v>2.0799999999999999E-2</v>
      </c>
      <c r="CY79">
        <f t="shared" si="36"/>
        <v>6.45</v>
      </c>
      <c r="CZ79">
        <f t="shared" si="37"/>
        <v>6.45</v>
      </c>
      <c r="DA79">
        <f t="shared" si="38"/>
        <v>1</v>
      </c>
      <c r="DB79">
        <f t="shared" si="25"/>
        <v>0.13</v>
      </c>
      <c r="DC79">
        <f t="shared" si="26"/>
        <v>0</v>
      </c>
      <c r="DD79" t="s">
        <v>6</v>
      </c>
      <c r="DE79" t="s">
        <v>6</v>
      </c>
      <c r="DF79">
        <f>ROUND(ROUND(AE79,2)*CX79,2)</f>
        <v>0.13</v>
      </c>
      <c r="DG79">
        <f t="shared" si="27"/>
        <v>0</v>
      </c>
      <c r="DH79">
        <f t="shared" si="34"/>
        <v>0</v>
      </c>
      <c r="DI79">
        <f t="shared" si="35"/>
        <v>0</v>
      </c>
      <c r="DJ79">
        <f t="shared" si="39"/>
        <v>0.13</v>
      </c>
      <c r="DK79">
        <v>1</v>
      </c>
      <c r="DL79" t="s">
        <v>6</v>
      </c>
      <c r="DM79">
        <v>0</v>
      </c>
      <c r="DN79" t="s">
        <v>6</v>
      </c>
      <c r="DO79">
        <v>0</v>
      </c>
    </row>
    <row r="80" spans="1:119">
      <c r="A80">
        <f>ROW(Source!A247)</f>
        <v>247</v>
      </c>
      <c r="B80">
        <v>41853493</v>
      </c>
      <c r="C80">
        <v>41854103</v>
      </c>
      <c r="D80">
        <v>40994260</v>
      </c>
      <c r="E80">
        <v>1</v>
      </c>
      <c r="F80">
        <v>1</v>
      </c>
      <c r="G80">
        <v>1</v>
      </c>
      <c r="H80">
        <v>3</v>
      </c>
      <c r="I80" t="s">
        <v>392</v>
      </c>
      <c r="J80" t="s">
        <v>393</v>
      </c>
      <c r="K80" t="s">
        <v>394</v>
      </c>
      <c r="L80">
        <v>1301</v>
      </c>
      <c r="N80">
        <v>1003</v>
      </c>
      <c r="O80" t="s">
        <v>135</v>
      </c>
      <c r="P80" t="s">
        <v>135</v>
      </c>
      <c r="Q80">
        <v>1</v>
      </c>
      <c r="W80">
        <v>0</v>
      </c>
      <c r="X80">
        <v>971772098</v>
      </c>
      <c r="Y80">
        <f t="shared" si="24"/>
        <v>1</v>
      </c>
      <c r="AA80">
        <v>6.63</v>
      </c>
      <c r="AB80">
        <v>0</v>
      </c>
      <c r="AC80">
        <v>0</v>
      </c>
      <c r="AD80">
        <v>0</v>
      </c>
      <c r="AE80">
        <v>5.87</v>
      </c>
      <c r="AF80">
        <v>0</v>
      </c>
      <c r="AG80">
        <v>0</v>
      </c>
      <c r="AH80">
        <v>0</v>
      </c>
      <c r="AI80">
        <v>1.1299999999999999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6</v>
      </c>
      <c r="AT80">
        <v>1</v>
      </c>
      <c r="AU80" t="s">
        <v>6</v>
      </c>
      <c r="AV80">
        <v>0</v>
      </c>
      <c r="AW80">
        <v>2</v>
      </c>
      <c r="AX80">
        <v>41854109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5.87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5.87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1</v>
      </c>
      <c r="CV80">
        <v>0</v>
      </c>
      <c r="CW80">
        <v>0</v>
      </c>
      <c r="CX80">
        <f>ROUND(Y80*Source!I247,7)</f>
        <v>1</v>
      </c>
      <c r="CY80">
        <f t="shared" si="36"/>
        <v>6.63</v>
      </c>
      <c r="CZ80">
        <f t="shared" si="37"/>
        <v>5.87</v>
      </c>
      <c r="DA80">
        <f t="shared" si="38"/>
        <v>1.1299999999999999</v>
      </c>
      <c r="DB80">
        <f t="shared" si="25"/>
        <v>5.87</v>
      </c>
      <c r="DC80">
        <f t="shared" si="26"/>
        <v>0</v>
      </c>
      <c r="DD80" t="s">
        <v>6</v>
      </c>
      <c r="DE80" t="s">
        <v>6</v>
      </c>
      <c r="DF80">
        <f t="shared" ref="DF80:DF88" si="40">ROUND(ROUND(AE80*AI80,2)*CX80,2)</f>
        <v>6.63</v>
      </c>
      <c r="DG80">
        <f t="shared" si="27"/>
        <v>0</v>
      </c>
      <c r="DH80">
        <f t="shared" si="34"/>
        <v>0</v>
      </c>
      <c r="DI80">
        <f t="shared" si="35"/>
        <v>0</v>
      </c>
      <c r="DJ80">
        <f t="shared" si="39"/>
        <v>6.63</v>
      </c>
      <c r="DK80">
        <v>0</v>
      </c>
      <c r="DL80" t="s">
        <v>6</v>
      </c>
      <c r="DM80">
        <v>0</v>
      </c>
      <c r="DN80" t="s">
        <v>6</v>
      </c>
      <c r="DO80">
        <v>0</v>
      </c>
    </row>
    <row r="81" spans="1:119">
      <c r="A81">
        <f>ROW(Source!A247)</f>
        <v>247</v>
      </c>
      <c r="B81">
        <v>41853493</v>
      </c>
      <c r="C81">
        <v>41854103</v>
      </c>
      <c r="D81">
        <v>40995195</v>
      </c>
      <c r="E81">
        <v>1</v>
      </c>
      <c r="F81">
        <v>1</v>
      </c>
      <c r="G81">
        <v>1</v>
      </c>
      <c r="H81">
        <v>3</v>
      </c>
      <c r="I81" t="s">
        <v>341</v>
      </c>
      <c r="J81" t="s">
        <v>342</v>
      </c>
      <c r="K81" t="s">
        <v>343</v>
      </c>
      <c r="L81">
        <v>1346</v>
      </c>
      <c r="N81">
        <v>1009</v>
      </c>
      <c r="O81" t="s">
        <v>344</v>
      </c>
      <c r="P81" t="s">
        <v>344</v>
      </c>
      <c r="Q81">
        <v>1</v>
      </c>
      <c r="W81">
        <v>0</v>
      </c>
      <c r="X81">
        <v>-1545686836</v>
      </c>
      <c r="Y81">
        <f t="shared" si="24"/>
        <v>7.0000000000000007E-2</v>
      </c>
      <c r="AA81">
        <v>160.30000000000001</v>
      </c>
      <c r="AB81">
        <v>0</v>
      </c>
      <c r="AC81">
        <v>0</v>
      </c>
      <c r="AD81">
        <v>0</v>
      </c>
      <c r="AE81">
        <v>155.63</v>
      </c>
      <c r="AF81">
        <v>0</v>
      </c>
      <c r="AG81">
        <v>0</v>
      </c>
      <c r="AH81">
        <v>0</v>
      </c>
      <c r="AI81">
        <v>1.03</v>
      </c>
      <c r="AJ81">
        <v>1</v>
      </c>
      <c r="AK81">
        <v>1</v>
      </c>
      <c r="AL81">
        <v>1</v>
      </c>
      <c r="AM81">
        <v>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6</v>
      </c>
      <c r="AT81">
        <v>7.0000000000000007E-2</v>
      </c>
      <c r="AU81" t="s">
        <v>6</v>
      </c>
      <c r="AV81">
        <v>0</v>
      </c>
      <c r="AW81">
        <v>2</v>
      </c>
      <c r="AX81">
        <v>41854110</v>
      </c>
      <c r="AY81">
        <v>1</v>
      </c>
      <c r="AZ81">
        <v>0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10.8941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1</v>
      </c>
      <c r="BQ81">
        <v>10.8941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1</v>
      </c>
      <c r="CV81">
        <v>0</v>
      </c>
      <c r="CW81">
        <v>0</v>
      </c>
      <c r="CX81">
        <f>ROUND(Y81*Source!I247,7)</f>
        <v>7.0000000000000007E-2</v>
      </c>
      <c r="CY81">
        <f t="shared" si="36"/>
        <v>160.30000000000001</v>
      </c>
      <c r="CZ81">
        <f t="shared" si="37"/>
        <v>155.63</v>
      </c>
      <c r="DA81">
        <f t="shared" si="38"/>
        <v>1.03</v>
      </c>
      <c r="DB81">
        <f t="shared" si="25"/>
        <v>10.89</v>
      </c>
      <c r="DC81">
        <f t="shared" si="26"/>
        <v>0</v>
      </c>
      <c r="DD81" t="s">
        <v>6</v>
      </c>
      <c r="DE81" t="s">
        <v>6</v>
      </c>
      <c r="DF81">
        <f t="shared" si="40"/>
        <v>11.22</v>
      </c>
      <c r="DG81">
        <f t="shared" si="27"/>
        <v>0</v>
      </c>
      <c r="DH81">
        <f t="shared" si="34"/>
        <v>0</v>
      </c>
      <c r="DI81">
        <f t="shared" si="35"/>
        <v>0</v>
      </c>
      <c r="DJ81">
        <f t="shared" si="39"/>
        <v>11.22</v>
      </c>
      <c r="DK81">
        <v>0</v>
      </c>
      <c r="DL81" t="s">
        <v>6</v>
      </c>
      <c r="DM81">
        <v>0</v>
      </c>
      <c r="DN81" t="s">
        <v>6</v>
      </c>
      <c r="DO81">
        <v>0</v>
      </c>
    </row>
    <row r="82" spans="1:119">
      <c r="A82">
        <f>ROW(Source!A247)</f>
        <v>247</v>
      </c>
      <c r="B82">
        <v>41853493</v>
      </c>
      <c r="C82">
        <v>41854103</v>
      </c>
      <c r="D82">
        <v>40996264</v>
      </c>
      <c r="E82">
        <v>1</v>
      </c>
      <c r="F82">
        <v>1</v>
      </c>
      <c r="G82">
        <v>1</v>
      </c>
      <c r="H82">
        <v>3</v>
      </c>
      <c r="I82" t="s">
        <v>345</v>
      </c>
      <c r="J82" t="s">
        <v>346</v>
      </c>
      <c r="K82" t="s">
        <v>347</v>
      </c>
      <c r="L82">
        <v>1346</v>
      </c>
      <c r="N82">
        <v>1009</v>
      </c>
      <c r="O82" t="s">
        <v>344</v>
      </c>
      <c r="P82" t="s">
        <v>344</v>
      </c>
      <c r="Q82">
        <v>1</v>
      </c>
      <c r="W82">
        <v>0</v>
      </c>
      <c r="X82">
        <v>-385218612</v>
      </c>
      <c r="Y82">
        <f t="shared" ref="Y82:Y113" si="41">AT82</f>
        <v>4.9000000000000002E-2</v>
      </c>
      <c r="AA82">
        <v>194.17</v>
      </c>
      <c r="AB82">
        <v>0</v>
      </c>
      <c r="AC82">
        <v>0</v>
      </c>
      <c r="AD82">
        <v>0</v>
      </c>
      <c r="AE82">
        <v>174.93</v>
      </c>
      <c r="AF82">
        <v>0</v>
      </c>
      <c r="AG82">
        <v>0</v>
      </c>
      <c r="AH82">
        <v>0</v>
      </c>
      <c r="AI82">
        <v>1.1100000000000001</v>
      </c>
      <c r="AJ82">
        <v>1</v>
      </c>
      <c r="AK82">
        <v>1</v>
      </c>
      <c r="AL82">
        <v>1</v>
      </c>
      <c r="AM82">
        <v>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6</v>
      </c>
      <c r="AT82">
        <v>4.9000000000000002E-2</v>
      </c>
      <c r="AU82" t="s">
        <v>6</v>
      </c>
      <c r="AV82">
        <v>0</v>
      </c>
      <c r="AW82">
        <v>2</v>
      </c>
      <c r="AX82">
        <v>41854111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8.5715700000000012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1</v>
      </c>
      <c r="BQ82">
        <v>8.5715700000000012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1</v>
      </c>
      <c r="CV82">
        <v>0</v>
      </c>
      <c r="CW82">
        <v>0</v>
      </c>
      <c r="CX82">
        <f>ROUND(Y82*Source!I247,7)</f>
        <v>4.9000000000000002E-2</v>
      </c>
      <c r="CY82">
        <f t="shared" si="36"/>
        <v>194.17</v>
      </c>
      <c r="CZ82">
        <f t="shared" si="37"/>
        <v>174.93</v>
      </c>
      <c r="DA82">
        <f t="shared" si="38"/>
        <v>1.1100000000000001</v>
      </c>
      <c r="DB82">
        <f t="shared" ref="DB82:DB113" si="42">ROUND(ROUND(AT82*CZ82,2),2)</f>
        <v>8.57</v>
      </c>
      <c r="DC82">
        <f t="shared" ref="DC82:DC113" si="43">ROUND(ROUND(AT82*AG82,2),2)</f>
        <v>0</v>
      </c>
      <c r="DD82" t="s">
        <v>6</v>
      </c>
      <c r="DE82" t="s">
        <v>6</v>
      </c>
      <c r="DF82">
        <f t="shared" si="40"/>
        <v>9.51</v>
      </c>
      <c r="DG82">
        <f t="shared" si="27"/>
        <v>0</v>
      </c>
      <c r="DH82">
        <f t="shared" si="34"/>
        <v>0</v>
      </c>
      <c r="DI82">
        <f t="shared" si="35"/>
        <v>0</v>
      </c>
      <c r="DJ82">
        <f t="shared" si="39"/>
        <v>9.51</v>
      </c>
      <c r="DK82">
        <v>0</v>
      </c>
      <c r="DL82" t="s">
        <v>6</v>
      </c>
      <c r="DM82">
        <v>0</v>
      </c>
      <c r="DN82" t="s">
        <v>6</v>
      </c>
      <c r="DO82">
        <v>0</v>
      </c>
    </row>
    <row r="83" spans="1:119">
      <c r="A83">
        <f>ROW(Source!A247)</f>
        <v>247</v>
      </c>
      <c r="B83">
        <v>41853493</v>
      </c>
      <c r="C83">
        <v>41854103</v>
      </c>
      <c r="D83">
        <v>40996385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1425</v>
      </c>
      <c r="N83">
        <v>1013</v>
      </c>
      <c r="O83" t="s">
        <v>44</v>
      </c>
      <c r="P83" t="s">
        <v>44</v>
      </c>
      <c r="Q83">
        <v>1</v>
      </c>
      <c r="W83">
        <v>0</v>
      </c>
      <c r="X83">
        <v>2015670240</v>
      </c>
      <c r="Y83">
        <f t="shared" si="41"/>
        <v>1.4E-2</v>
      </c>
      <c r="AA83">
        <v>48.38</v>
      </c>
      <c r="AB83">
        <v>0</v>
      </c>
      <c r="AC83">
        <v>0</v>
      </c>
      <c r="AD83">
        <v>0</v>
      </c>
      <c r="AE83">
        <v>41.71</v>
      </c>
      <c r="AF83">
        <v>0</v>
      </c>
      <c r="AG83">
        <v>0</v>
      </c>
      <c r="AH83">
        <v>0</v>
      </c>
      <c r="AI83">
        <v>1.1599999999999999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6</v>
      </c>
      <c r="AT83">
        <v>1.4E-2</v>
      </c>
      <c r="AU83" t="s">
        <v>6</v>
      </c>
      <c r="AV83">
        <v>0</v>
      </c>
      <c r="AW83">
        <v>2</v>
      </c>
      <c r="AX83">
        <v>41854112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0.58394000000000001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1</v>
      </c>
      <c r="BQ83">
        <v>0.58394000000000001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1</v>
      </c>
      <c r="CV83">
        <v>0</v>
      </c>
      <c r="CW83">
        <v>0</v>
      </c>
      <c r="CX83">
        <f>ROUND(Y83*Source!I247,7)</f>
        <v>1.4E-2</v>
      </c>
      <c r="CY83">
        <f t="shared" si="36"/>
        <v>48.38</v>
      </c>
      <c r="CZ83">
        <f t="shared" si="37"/>
        <v>41.71</v>
      </c>
      <c r="DA83">
        <f t="shared" si="38"/>
        <v>1.1599999999999999</v>
      </c>
      <c r="DB83">
        <f t="shared" si="42"/>
        <v>0.57999999999999996</v>
      </c>
      <c r="DC83">
        <f t="shared" si="43"/>
        <v>0</v>
      </c>
      <c r="DD83" t="s">
        <v>6</v>
      </c>
      <c r="DE83" t="s">
        <v>6</v>
      </c>
      <c r="DF83">
        <f t="shared" si="40"/>
        <v>0.68</v>
      </c>
      <c r="DG83">
        <f t="shared" si="27"/>
        <v>0</v>
      </c>
      <c r="DH83">
        <f t="shared" si="34"/>
        <v>0</v>
      </c>
      <c r="DI83">
        <f t="shared" si="35"/>
        <v>0</v>
      </c>
      <c r="DJ83">
        <f t="shared" si="39"/>
        <v>0.68</v>
      </c>
      <c r="DK83">
        <v>0</v>
      </c>
      <c r="DL83" t="s">
        <v>6</v>
      </c>
      <c r="DM83">
        <v>0</v>
      </c>
      <c r="DN83" t="s">
        <v>6</v>
      </c>
      <c r="DO83">
        <v>0</v>
      </c>
    </row>
    <row r="84" spans="1:119">
      <c r="A84">
        <f>ROW(Source!A247)</f>
        <v>247</v>
      </c>
      <c r="B84">
        <v>41853493</v>
      </c>
      <c r="C84">
        <v>41854103</v>
      </c>
      <c r="D84">
        <v>40998128</v>
      </c>
      <c r="E84">
        <v>1</v>
      </c>
      <c r="F84">
        <v>1</v>
      </c>
      <c r="G84">
        <v>1</v>
      </c>
      <c r="H84">
        <v>3</v>
      </c>
      <c r="I84" t="s">
        <v>398</v>
      </c>
      <c r="J84" t="s">
        <v>399</v>
      </c>
      <c r="K84" t="s">
        <v>400</v>
      </c>
      <c r="L84">
        <v>1346</v>
      </c>
      <c r="N84">
        <v>1009</v>
      </c>
      <c r="O84" t="s">
        <v>344</v>
      </c>
      <c r="P84" t="s">
        <v>344</v>
      </c>
      <c r="Q84">
        <v>1</v>
      </c>
      <c r="W84">
        <v>0</v>
      </c>
      <c r="X84">
        <v>-1121814016</v>
      </c>
      <c r="Y84">
        <f t="shared" si="41"/>
        <v>1E-3</v>
      </c>
      <c r="AA84">
        <v>755.69</v>
      </c>
      <c r="AB84">
        <v>0</v>
      </c>
      <c r="AC84">
        <v>0</v>
      </c>
      <c r="AD84">
        <v>0</v>
      </c>
      <c r="AE84">
        <v>395.65</v>
      </c>
      <c r="AF84">
        <v>0</v>
      </c>
      <c r="AG84">
        <v>0</v>
      </c>
      <c r="AH84">
        <v>0</v>
      </c>
      <c r="AI84">
        <v>1.91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6</v>
      </c>
      <c r="AT84">
        <v>1E-3</v>
      </c>
      <c r="AU84" t="s">
        <v>6</v>
      </c>
      <c r="AV84">
        <v>0</v>
      </c>
      <c r="AW84">
        <v>2</v>
      </c>
      <c r="AX84">
        <v>41854113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0.39565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0.39565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ROUND(Y84*Source!I247,7)</f>
        <v>1E-3</v>
      </c>
      <c r="CY84">
        <f t="shared" si="36"/>
        <v>755.69</v>
      </c>
      <c r="CZ84">
        <f t="shared" si="37"/>
        <v>395.65</v>
      </c>
      <c r="DA84">
        <f t="shared" si="38"/>
        <v>1.91</v>
      </c>
      <c r="DB84">
        <f t="shared" si="42"/>
        <v>0.4</v>
      </c>
      <c r="DC84">
        <f t="shared" si="43"/>
        <v>0</v>
      </c>
      <c r="DD84" t="s">
        <v>6</v>
      </c>
      <c r="DE84" t="s">
        <v>6</v>
      </c>
      <c r="DF84">
        <f t="shared" si="40"/>
        <v>0.76</v>
      </c>
      <c r="DG84">
        <f t="shared" si="27"/>
        <v>0</v>
      </c>
      <c r="DH84">
        <f t="shared" si="34"/>
        <v>0</v>
      </c>
      <c r="DI84">
        <f t="shared" si="35"/>
        <v>0</v>
      </c>
      <c r="DJ84">
        <f t="shared" si="39"/>
        <v>0.76</v>
      </c>
      <c r="DK84">
        <v>0</v>
      </c>
      <c r="DL84" t="s">
        <v>6</v>
      </c>
      <c r="DM84">
        <v>0</v>
      </c>
      <c r="DN84" t="s">
        <v>6</v>
      </c>
      <c r="DO84">
        <v>0</v>
      </c>
    </row>
    <row r="85" spans="1:119">
      <c r="A85">
        <f>ROW(Source!A247)</f>
        <v>247</v>
      </c>
      <c r="B85">
        <v>41853493</v>
      </c>
      <c r="C85">
        <v>41854103</v>
      </c>
      <c r="D85">
        <v>41004163</v>
      </c>
      <c r="E85">
        <v>1</v>
      </c>
      <c r="F85">
        <v>1</v>
      </c>
      <c r="G85">
        <v>1</v>
      </c>
      <c r="H85">
        <v>3</v>
      </c>
      <c r="I85" t="s">
        <v>358</v>
      </c>
      <c r="J85" t="s">
        <v>359</v>
      </c>
      <c r="K85" t="s">
        <v>360</v>
      </c>
      <c r="L85">
        <v>1348</v>
      </c>
      <c r="N85">
        <v>1009</v>
      </c>
      <c r="O85" t="s">
        <v>37</v>
      </c>
      <c r="P85" t="s">
        <v>37</v>
      </c>
      <c r="Q85">
        <v>1000</v>
      </c>
      <c r="W85">
        <v>0</v>
      </c>
      <c r="X85">
        <v>-1588183596</v>
      </c>
      <c r="Y85">
        <f t="shared" si="41"/>
        <v>1E-3</v>
      </c>
      <c r="AA85">
        <v>116859.48</v>
      </c>
      <c r="AB85">
        <v>0</v>
      </c>
      <c r="AC85">
        <v>0</v>
      </c>
      <c r="AD85">
        <v>0</v>
      </c>
      <c r="AE85">
        <v>105278.81</v>
      </c>
      <c r="AF85">
        <v>0</v>
      </c>
      <c r="AG85">
        <v>0</v>
      </c>
      <c r="AH85">
        <v>0</v>
      </c>
      <c r="AI85">
        <v>1.1100000000000001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6</v>
      </c>
      <c r="AT85">
        <v>1E-3</v>
      </c>
      <c r="AU85" t="s">
        <v>6</v>
      </c>
      <c r="AV85">
        <v>0</v>
      </c>
      <c r="AW85">
        <v>2</v>
      </c>
      <c r="AX85">
        <v>41854114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105.27880999999999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105.27880999999999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ROUND(Y85*Source!I247,7)</f>
        <v>1E-3</v>
      </c>
      <c r="CY85">
        <f t="shared" si="36"/>
        <v>116859.48</v>
      </c>
      <c r="CZ85">
        <f t="shared" si="37"/>
        <v>105278.81</v>
      </c>
      <c r="DA85">
        <f t="shared" si="38"/>
        <v>1.1100000000000001</v>
      </c>
      <c r="DB85">
        <f t="shared" si="42"/>
        <v>105.28</v>
      </c>
      <c r="DC85">
        <f t="shared" si="43"/>
        <v>0</v>
      </c>
      <c r="DD85" t="s">
        <v>6</v>
      </c>
      <c r="DE85" t="s">
        <v>6</v>
      </c>
      <c r="DF85">
        <f t="shared" si="40"/>
        <v>116.86</v>
      </c>
      <c r="DG85">
        <f t="shared" si="27"/>
        <v>0</v>
      </c>
      <c r="DH85">
        <f t="shared" si="34"/>
        <v>0</v>
      </c>
      <c r="DI85">
        <f t="shared" si="35"/>
        <v>0</v>
      </c>
      <c r="DJ85">
        <f t="shared" si="39"/>
        <v>116.86</v>
      </c>
      <c r="DK85">
        <v>0</v>
      </c>
      <c r="DL85" t="s">
        <v>6</v>
      </c>
      <c r="DM85">
        <v>0</v>
      </c>
      <c r="DN85" t="s">
        <v>6</v>
      </c>
      <c r="DO85">
        <v>0</v>
      </c>
    </row>
    <row r="86" spans="1:119">
      <c r="A86">
        <f>ROW(Source!A247)</f>
        <v>247</v>
      </c>
      <c r="B86">
        <v>41853493</v>
      </c>
      <c r="C86">
        <v>41854103</v>
      </c>
      <c r="D86">
        <v>41024880</v>
      </c>
      <c r="E86">
        <v>1</v>
      </c>
      <c r="F86">
        <v>1</v>
      </c>
      <c r="G86">
        <v>1</v>
      </c>
      <c r="H86">
        <v>3</v>
      </c>
      <c r="I86" t="s">
        <v>363</v>
      </c>
      <c r="J86" t="s">
        <v>364</v>
      </c>
      <c r="K86" t="s">
        <v>365</v>
      </c>
      <c r="L86">
        <v>1346</v>
      </c>
      <c r="N86">
        <v>1009</v>
      </c>
      <c r="O86" t="s">
        <v>344</v>
      </c>
      <c r="P86" t="s">
        <v>344</v>
      </c>
      <c r="Q86">
        <v>1</v>
      </c>
      <c r="W86">
        <v>0</v>
      </c>
      <c r="X86">
        <v>50985725</v>
      </c>
      <c r="Y86">
        <f t="shared" si="41"/>
        <v>3.5999999999999997E-2</v>
      </c>
      <c r="AA86">
        <v>109.44</v>
      </c>
      <c r="AB86">
        <v>0</v>
      </c>
      <c r="AC86">
        <v>0</v>
      </c>
      <c r="AD86">
        <v>0</v>
      </c>
      <c r="AE86">
        <v>79.88</v>
      </c>
      <c r="AF86">
        <v>0</v>
      </c>
      <c r="AG86">
        <v>0</v>
      </c>
      <c r="AH86">
        <v>0</v>
      </c>
      <c r="AI86">
        <v>1.37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6</v>
      </c>
      <c r="AT86">
        <v>3.5999999999999997E-2</v>
      </c>
      <c r="AU86" t="s">
        <v>6</v>
      </c>
      <c r="AV86">
        <v>0</v>
      </c>
      <c r="AW86">
        <v>2</v>
      </c>
      <c r="AX86">
        <v>41854115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2.8756799999999996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2.8756799999999996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ROUND(Y86*Source!I247,7)</f>
        <v>3.5999999999999997E-2</v>
      </c>
      <c r="CY86">
        <f t="shared" si="36"/>
        <v>109.44</v>
      </c>
      <c r="CZ86">
        <f t="shared" si="37"/>
        <v>79.88</v>
      </c>
      <c r="DA86">
        <f t="shared" si="38"/>
        <v>1.37</v>
      </c>
      <c r="DB86">
        <f t="shared" si="42"/>
        <v>2.88</v>
      </c>
      <c r="DC86">
        <f t="shared" si="43"/>
        <v>0</v>
      </c>
      <c r="DD86" t="s">
        <v>6</v>
      </c>
      <c r="DE86" t="s">
        <v>6</v>
      </c>
      <c r="DF86">
        <f t="shared" si="40"/>
        <v>3.94</v>
      </c>
      <c r="DG86">
        <f t="shared" si="27"/>
        <v>0</v>
      </c>
      <c r="DH86">
        <f t="shared" si="34"/>
        <v>0</v>
      </c>
      <c r="DI86">
        <f t="shared" si="35"/>
        <v>0</v>
      </c>
      <c r="DJ86">
        <f t="shared" si="39"/>
        <v>3.94</v>
      </c>
      <c r="DK86">
        <v>0</v>
      </c>
      <c r="DL86" t="s">
        <v>6</v>
      </c>
      <c r="DM86">
        <v>0</v>
      </c>
      <c r="DN86" t="s">
        <v>6</v>
      </c>
      <c r="DO86">
        <v>0</v>
      </c>
    </row>
    <row r="87" spans="1:119">
      <c r="A87">
        <f>ROW(Source!A247)</f>
        <v>247</v>
      </c>
      <c r="B87">
        <v>41853493</v>
      </c>
      <c r="C87">
        <v>41854103</v>
      </c>
      <c r="D87">
        <v>41024940</v>
      </c>
      <c r="E87">
        <v>1</v>
      </c>
      <c r="F87">
        <v>1</v>
      </c>
      <c r="G87">
        <v>1</v>
      </c>
      <c r="H87">
        <v>3</v>
      </c>
      <c r="I87" t="s">
        <v>401</v>
      </c>
      <c r="J87" t="s">
        <v>402</v>
      </c>
      <c r="K87" t="s">
        <v>403</v>
      </c>
      <c r="L87">
        <v>1346</v>
      </c>
      <c r="N87">
        <v>1009</v>
      </c>
      <c r="O87" t="s">
        <v>344</v>
      </c>
      <c r="P87" t="s">
        <v>344</v>
      </c>
      <c r="Q87">
        <v>1</v>
      </c>
      <c r="W87">
        <v>0</v>
      </c>
      <c r="X87">
        <v>1160310375</v>
      </c>
      <c r="Y87">
        <f t="shared" si="41"/>
        <v>6.0000000000000001E-3</v>
      </c>
      <c r="AA87">
        <v>155.62</v>
      </c>
      <c r="AB87">
        <v>0</v>
      </c>
      <c r="AC87">
        <v>0</v>
      </c>
      <c r="AD87">
        <v>0</v>
      </c>
      <c r="AE87">
        <v>135.32</v>
      </c>
      <c r="AF87">
        <v>0</v>
      </c>
      <c r="AG87">
        <v>0</v>
      </c>
      <c r="AH87">
        <v>0</v>
      </c>
      <c r="AI87">
        <v>1.1499999999999999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6</v>
      </c>
      <c r="AT87">
        <v>6.0000000000000001E-3</v>
      </c>
      <c r="AU87" t="s">
        <v>6</v>
      </c>
      <c r="AV87">
        <v>0</v>
      </c>
      <c r="AW87">
        <v>2</v>
      </c>
      <c r="AX87">
        <v>41854116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0.81191999999999998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0.81191999999999998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1</v>
      </c>
      <c r="CV87">
        <v>0</v>
      </c>
      <c r="CW87">
        <v>0</v>
      </c>
      <c r="CX87">
        <f>ROUND(Y87*Source!I247,7)</f>
        <v>6.0000000000000001E-3</v>
      </c>
      <c r="CY87">
        <f t="shared" si="36"/>
        <v>155.62</v>
      </c>
      <c r="CZ87">
        <f t="shared" si="37"/>
        <v>135.32</v>
      </c>
      <c r="DA87">
        <f t="shared" si="38"/>
        <v>1.1499999999999999</v>
      </c>
      <c r="DB87">
        <f t="shared" si="42"/>
        <v>0.81</v>
      </c>
      <c r="DC87">
        <f t="shared" si="43"/>
        <v>0</v>
      </c>
      <c r="DD87" t="s">
        <v>6</v>
      </c>
      <c r="DE87" t="s">
        <v>6</v>
      </c>
      <c r="DF87">
        <f t="shared" si="40"/>
        <v>0.93</v>
      </c>
      <c r="DG87">
        <f t="shared" si="27"/>
        <v>0</v>
      </c>
      <c r="DH87">
        <f t="shared" si="34"/>
        <v>0</v>
      </c>
      <c r="DI87">
        <f t="shared" si="35"/>
        <v>0</v>
      </c>
      <c r="DJ87">
        <f t="shared" si="39"/>
        <v>0.93</v>
      </c>
      <c r="DK87">
        <v>0</v>
      </c>
      <c r="DL87" t="s">
        <v>6</v>
      </c>
      <c r="DM87">
        <v>0</v>
      </c>
      <c r="DN87" t="s">
        <v>6</v>
      </c>
      <c r="DO87">
        <v>0</v>
      </c>
    </row>
    <row r="88" spans="1:119">
      <c r="A88">
        <f>ROW(Source!A247)</f>
        <v>247</v>
      </c>
      <c r="B88">
        <v>41853493</v>
      </c>
      <c r="C88">
        <v>41854103</v>
      </c>
      <c r="D88">
        <v>41036706</v>
      </c>
      <c r="E88">
        <v>1</v>
      </c>
      <c r="F88">
        <v>1</v>
      </c>
      <c r="G88">
        <v>1</v>
      </c>
      <c r="H88">
        <v>3</v>
      </c>
      <c r="I88" t="s">
        <v>375</v>
      </c>
      <c r="J88" t="s">
        <v>376</v>
      </c>
      <c r="K88" t="s">
        <v>377</v>
      </c>
      <c r="L88">
        <v>1455</v>
      </c>
      <c r="N88">
        <v>1013</v>
      </c>
      <c r="O88" t="s">
        <v>378</v>
      </c>
      <c r="P88" t="s">
        <v>378</v>
      </c>
      <c r="Q88">
        <v>1</v>
      </c>
      <c r="W88">
        <v>0</v>
      </c>
      <c r="X88">
        <v>1465968117</v>
      </c>
      <c r="Y88">
        <f t="shared" si="41"/>
        <v>0.1</v>
      </c>
      <c r="AA88">
        <v>991.92</v>
      </c>
      <c r="AB88">
        <v>0</v>
      </c>
      <c r="AC88">
        <v>0</v>
      </c>
      <c r="AD88">
        <v>0</v>
      </c>
      <c r="AE88">
        <v>944.69</v>
      </c>
      <c r="AF88">
        <v>0</v>
      </c>
      <c r="AG88">
        <v>0</v>
      </c>
      <c r="AH88">
        <v>0</v>
      </c>
      <c r="AI88">
        <v>1.05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6</v>
      </c>
      <c r="AT88">
        <v>0.1</v>
      </c>
      <c r="AU88" t="s">
        <v>6</v>
      </c>
      <c r="AV88">
        <v>0</v>
      </c>
      <c r="AW88">
        <v>2</v>
      </c>
      <c r="AX88">
        <v>41854117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94.469000000000008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94.469000000000008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1</v>
      </c>
      <c r="CV88">
        <v>0</v>
      </c>
      <c r="CW88">
        <v>0</v>
      </c>
      <c r="CX88">
        <f>ROUND(Y88*Source!I247,7)</f>
        <v>0.1</v>
      </c>
      <c r="CY88">
        <f t="shared" si="36"/>
        <v>991.92</v>
      </c>
      <c r="CZ88">
        <f t="shared" si="37"/>
        <v>944.69</v>
      </c>
      <c r="DA88">
        <f t="shared" si="38"/>
        <v>1.05</v>
      </c>
      <c r="DB88">
        <f t="shared" si="42"/>
        <v>94.47</v>
      </c>
      <c r="DC88">
        <f t="shared" si="43"/>
        <v>0</v>
      </c>
      <c r="DD88" t="s">
        <v>6</v>
      </c>
      <c r="DE88" t="s">
        <v>6</v>
      </c>
      <c r="DF88">
        <f t="shared" si="40"/>
        <v>99.19</v>
      </c>
      <c r="DG88">
        <f t="shared" si="27"/>
        <v>0</v>
      </c>
      <c r="DH88">
        <f t="shared" si="34"/>
        <v>0</v>
      </c>
      <c r="DI88">
        <f t="shared" si="35"/>
        <v>0</v>
      </c>
      <c r="DJ88">
        <f t="shared" si="39"/>
        <v>99.19</v>
      </c>
      <c r="DK88">
        <v>0</v>
      </c>
      <c r="DL88" t="s">
        <v>6</v>
      </c>
      <c r="DM88">
        <v>0</v>
      </c>
      <c r="DN88" t="s">
        <v>6</v>
      </c>
      <c r="DO88">
        <v>0</v>
      </c>
    </row>
    <row r="89" spans="1:119">
      <c r="A89">
        <f>ROW(Source!A247)</f>
        <v>247</v>
      </c>
      <c r="B89">
        <v>41853493</v>
      </c>
      <c r="C89">
        <v>41854103</v>
      </c>
      <c r="D89">
        <v>40676108</v>
      </c>
      <c r="E89">
        <v>108</v>
      </c>
      <c r="F89">
        <v>1</v>
      </c>
      <c r="G89">
        <v>1</v>
      </c>
      <c r="H89">
        <v>3</v>
      </c>
      <c r="I89" t="s">
        <v>28</v>
      </c>
      <c r="J89" t="s">
        <v>6</v>
      </c>
      <c r="K89" t="s">
        <v>29</v>
      </c>
      <c r="L89">
        <v>3277935</v>
      </c>
      <c r="N89">
        <v>1013</v>
      </c>
      <c r="O89" t="s">
        <v>30</v>
      </c>
      <c r="P89" t="s">
        <v>30</v>
      </c>
      <c r="Q89">
        <v>1</v>
      </c>
      <c r="W89">
        <v>0</v>
      </c>
      <c r="X89">
        <v>274903907</v>
      </c>
      <c r="Y89">
        <f t="shared" si="41"/>
        <v>2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 t="s">
        <v>6</v>
      </c>
      <c r="AT89">
        <v>2</v>
      </c>
      <c r="AU89" t="s">
        <v>6</v>
      </c>
      <c r="AV89">
        <v>0</v>
      </c>
      <c r="AW89">
        <v>2</v>
      </c>
      <c r="AX89">
        <v>41854118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ROUND(Y89*Source!I247,7)</f>
        <v>2</v>
      </c>
      <c r="CY89">
        <f t="shared" si="36"/>
        <v>0</v>
      </c>
      <c r="CZ89">
        <f t="shared" si="37"/>
        <v>0</v>
      </c>
      <c r="DA89">
        <f t="shared" si="38"/>
        <v>1</v>
      </c>
      <c r="DB89">
        <f t="shared" si="42"/>
        <v>0</v>
      </c>
      <c r="DC89">
        <f t="shared" si="43"/>
        <v>0</v>
      </c>
      <c r="DD89" t="s">
        <v>6</v>
      </c>
      <c r="DE89" t="s">
        <v>6</v>
      </c>
      <c r="DF89">
        <f>ROUND(ROUND(AE89,2)*CX89,2)</f>
        <v>0</v>
      </c>
      <c r="DG89">
        <f t="shared" si="27"/>
        <v>0</v>
      </c>
      <c r="DH89">
        <f t="shared" si="34"/>
        <v>0</v>
      </c>
      <c r="DI89">
        <f t="shared" si="35"/>
        <v>0</v>
      </c>
      <c r="DJ89">
        <f t="shared" si="39"/>
        <v>0</v>
      </c>
      <c r="DK89">
        <v>0</v>
      </c>
      <c r="DL89" t="s">
        <v>6</v>
      </c>
      <c r="DM89">
        <v>0</v>
      </c>
      <c r="DN89" t="s">
        <v>6</v>
      </c>
      <c r="DO89">
        <v>0</v>
      </c>
    </row>
    <row r="90" spans="1:119">
      <c r="A90">
        <f>ROW(Source!A249)</f>
        <v>249</v>
      </c>
      <c r="B90">
        <v>41853493</v>
      </c>
      <c r="C90">
        <v>41854120</v>
      </c>
      <c r="D90">
        <v>40669960</v>
      </c>
      <c r="E90">
        <v>108</v>
      </c>
      <c r="F90">
        <v>1</v>
      </c>
      <c r="G90">
        <v>1</v>
      </c>
      <c r="H90">
        <v>1</v>
      </c>
      <c r="I90" t="s">
        <v>406</v>
      </c>
      <c r="J90" t="s">
        <v>6</v>
      </c>
      <c r="K90" t="s">
        <v>407</v>
      </c>
      <c r="L90">
        <v>1191</v>
      </c>
      <c r="N90">
        <v>1013</v>
      </c>
      <c r="O90" t="s">
        <v>321</v>
      </c>
      <c r="P90" t="s">
        <v>321</v>
      </c>
      <c r="Q90">
        <v>1</v>
      </c>
      <c r="W90">
        <v>0</v>
      </c>
      <c r="X90">
        <v>-1810713292</v>
      </c>
      <c r="Y90">
        <f t="shared" si="41"/>
        <v>15.2</v>
      </c>
      <c r="AA90">
        <v>0</v>
      </c>
      <c r="AB90">
        <v>0</v>
      </c>
      <c r="AC90">
        <v>0</v>
      </c>
      <c r="AD90">
        <v>289.54000000000002</v>
      </c>
      <c r="AE90">
        <v>0</v>
      </c>
      <c r="AF90">
        <v>0</v>
      </c>
      <c r="AG90">
        <v>0</v>
      </c>
      <c r="AH90">
        <v>289.54000000000002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6</v>
      </c>
      <c r="AT90">
        <v>15.2</v>
      </c>
      <c r="AU90" t="s">
        <v>6</v>
      </c>
      <c r="AV90">
        <v>1</v>
      </c>
      <c r="AW90">
        <v>2</v>
      </c>
      <c r="AX90">
        <v>41854123</v>
      </c>
      <c r="AY90">
        <v>1</v>
      </c>
      <c r="AZ90">
        <v>0</v>
      </c>
      <c r="BA90">
        <v>90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4401.0079999999998</v>
      </c>
      <c r="BN90">
        <v>15.2</v>
      </c>
      <c r="BO90">
        <v>0</v>
      </c>
      <c r="BP90">
        <v>1</v>
      </c>
      <c r="BQ90">
        <v>0</v>
      </c>
      <c r="BR90">
        <v>0</v>
      </c>
      <c r="BS90">
        <v>0</v>
      </c>
      <c r="BT90">
        <v>4401.0079999999998</v>
      </c>
      <c r="BU90">
        <v>15.2</v>
      </c>
      <c r="BV90">
        <v>0</v>
      </c>
      <c r="BW90">
        <v>1</v>
      </c>
      <c r="CU90">
        <f>ROUND(AT90*Source!I249*AH90*AL90,2)</f>
        <v>1100.25</v>
      </c>
      <c r="CV90">
        <f>ROUND(Y90*Source!I249,7)</f>
        <v>3.8</v>
      </c>
      <c r="CW90">
        <v>0</v>
      </c>
      <c r="CX90">
        <f>ROUND(Y90*Source!I249,7)</f>
        <v>3.8</v>
      </c>
      <c r="CY90">
        <f>AD90</f>
        <v>289.54000000000002</v>
      </c>
      <c r="CZ90">
        <f>AH90</f>
        <v>289.54000000000002</v>
      </c>
      <c r="DA90">
        <f>AL90</f>
        <v>1</v>
      </c>
      <c r="DB90">
        <f t="shared" si="42"/>
        <v>4401.01</v>
      </c>
      <c r="DC90">
        <f t="shared" si="43"/>
        <v>0</v>
      </c>
      <c r="DD90" t="s">
        <v>6</v>
      </c>
      <c r="DE90" t="s">
        <v>6</v>
      </c>
      <c r="DF90">
        <f>ROUND(ROUND(AE90,2)*CX90,2)</f>
        <v>0</v>
      </c>
      <c r="DG90">
        <f t="shared" si="27"/>
        <v>0</v>
      </c>
      <c r="DH90">
        <f t="shared" si="34"/>
        <v>0</v>
      </c>
      <c r="DI90">
        <f t="shared" si="35"/>
        <v>1100.25</v>
      </c>
      <c r="DJ90">
        <f>DI90</f>
        <v>1100.25</v>
      </c>
      <c r="DK90">
        <v>1</v>
      </c>
      <c r="DL90" t="s">
        <v>6</v>
      </c>
      <c r="DM90">
        <v>0</v>
      </c>
      <c r="DN90" t="s">
        <v>6</v>
      </c>
      <c r="DO90">
        <v>0</v>
      </c>
    </row>
    <row r="91" spans="1:119">
      <c r="A91">
        <f>ROW(Source!A249)</f>
        <v>249</v>
      </c>
      <c r="B91">
        <v>41853493</v>
      </c>
      <c r="C91">
        <v>41854120</v>
      </c>
      <c r="D91">
        <v>40993972</v>
      </c>
      <c r="E91">
        <v>1</v>
      </c>
      <c r="F91">
        <v>1</v>
      </c>
      <c r="G91">
        <v>1</v>
      </c>
      <c r="H91">
        <v>3</v>
      </c>
      <c r="I91" t="s">
        <v>388</v>
      </c>
      <c r="J91" t="s">
        <v>389</v>
      </c>
      <c r="K91" t="s">
        <v>390</v>
      </c>
      <c r="L91">
        <v>1383</v>
      </c>
      <c r="N91">
        <v>1013</v>
      </c>
      <c r="O91" t="s">
        <v>391</v>
      </c>
      <c r="P91" t="s">
        <v>391</v>
      </c>
      <c r="Q91">
        <v>1</v>
      </c>
      <c r="W91">
        <v>0</v>
      </c>
      <c r="X91">
        <v>-218356995</v>
      </c>
      <c r="Y91">
        <f t="shared" si="41"/>
        <v>5.3376000000000001</v>
      </c>
      <c r="AA91">
        <v>6.45</v>
      </c>
      <c r="AB91">
        <v>0</v>
      </c>
      <c r="AC91">
        <v>0</v>
      </c>
      <c r="AD91">
        <v>0</v>
      </c>
      <c r="AE91">
        <v>6.45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6</v>
      </c>
      <c r="AT91">
        <v>5.3376000000000001</v>
      </c>
      <c r="AU91" t="s">
        <v>6</v>
      </c>
      <c r="AV91">
        <v>0</v>
      </c>
      <c r="AW91">
        <v>2</v>
      </c>
      <c r="AX91">
        <v>41854124</v>
      </c>
      <c r="AY91">
        <v>1</v>
      </c>
      <c r="AZ91">
        <v>0</v>
      </c>
      <c r="BA91">
        <v>91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34.427520000000001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1</v>
      </c>
      <c r="BQ91">
        <v>34.427520000000001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1</v>
      </c>
      <c r="CV91">
        <v>0</v>
      </c>
      <c r="CW91">
        <v>0</v>
      </c>
      <c r="CX91">
        <f>ROUND(Y91*Source!I249,7)</f>
        <v>1.3344</v>
      </c>
      <c r="CY91">
        <f>AA91</f>
        <v>6.45</v>
      </c>
      <c r="CZ91">
        <f>AE91</f>
        <v>6.45</v>
      </c>
      <c r="DA91">
        <f>AI91</f>
        <v>1</v>
      </c>
      <c r="DB91">
        <f t="shared" si="42"/>
        <v>34.43</v>
      </c>
      <c r="DC91">
        <f t="shared" si="43"/>
        <v>0</v>
      </c>
      <c r="DD91" t="s">
        <v>6</v>
      </c>
      <c r="DE91" t="s">
        <v>6</v>
      </c>
      <c r="DF91">
        <f>ROUND(ROUND(AE91,2)*CX91,2)</f>
        <v>8.61</v>
      </c>
      <c r="DG91">
        <f t="shared" si="27"/>
        <v>0</v>
      </c>
      <c r="DH91">
        <f t="shared" si="34"/>
        <v>0</v>
      </c>
      <c r="DI91">
        <f t="shared" si="35"/>
        <v>0</v>
      </c>
      <c r="DJ91">
        <f>DF91</f>
        <v>8.61</v>
      </c>
      <c r="DK91">
        <v>1</v>
      </c>
      <c r="DL91" t="s">
        <v>6</v>
      </c>
      <c r="DM91">
        <v>0</v>
      </c>
      <c r="DN91" t="s">
        <v>6</v>
      </c>
      <c r="DO91">
        <v>0</v>
      </c>
    </row>
    <row r="92" spans="1:119">
      <c r="A92">
        <f>ROW(Source!A249)</f>
        <v>249</v>
      </c>
      <c r="B92">
        <v>41853493</v>
      </c>
      <c r="C92">
        <v>41854120</v>
      </c>
      <c r="D92">
        <v>40996448</v>
      </c>
      <c r="E92">
        <v>1</v>
      </c>
      <c r="F92">
        <v>1</v>
      </c>
      <c r="G92">
        <v>1</v>
      </c>
      <c r="H92">
        <v>3</v>
      </c>
      <c r="I92" t="s">
        <v>408</v>
      </c>
      <c r="J92" t="s">
        <v>409</v>
      </c>
      <c r="K92" t="s">
        <v>410</v>
      </c>
      <c r="L92">
        <v>1425</v>
      </c>
      <c r="N92">
        <v>1013</v>
      </c>
      <c r="O92" t="s">
        <v>44</v>
      </c>
      <c r="P92" t="s">
        <v>44</v>
      </c>
      <c r="Q92">
        <v>1</v>
      </c>
      <c r="W92">
        <v>0</v>
      </c>
      <c r="X92">
        <v>-892730817</v>
      </c>
      <c r="Y92">
        <f t="shared" si="41"/>
        <v>1.75</v>
      </c>
      <c r="AA92">
        <v>60.71</v>
      </c>
      <c r="AB92">
        <v>0</v>
      </c>
      <c r="AC92">
        <v>0</v>
      </c>
      <c r="AD92">
        <v>0</v>
      </c>
      <c r="AE92">
        <v>52.34</v>
      </c>
      <c r="AF92">
        <v>0</v>
      </c>
      <c r="AG92">
        <v>0</v>
      </c>
      <c r="AH92">
        <v>0</v>
      </c>
      <c r="AI92">
        <v>1.1599999999999999</v>
      </c>
      <c r="AJ92">
        <v>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6</v>
      </c>
      <c r="AT92">
        <v>1.75</v>
      </c>
      <c r="AU92" t="s">
        <v>6</v>
      </c>
      <c r="AV92">
        <v>0</v>
      </c>
      <c r="AW92">
        <v>2</v>
      </c>
      <c r="AX92">
        <v>41854125</v>
      </c>
      <c r="AY92">
        <v>1</v>
      </c>
      <c r="AZ92">
        <v>0</v>
      </c>
      <c r="BA92">
        <v>92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91.594999999999999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1</v>
      </c>
      <c r="BQ92">
        <v>91.594999999999999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1</v>
      </c>
      <c r="CV92">
        <v>0</v>
      </c>
      <c r="CW92">
        <v>0</v>
      </c>
      <c r="CX92">
        <f>ROUND(Y92*Source!I249,7)</f>
        <v>0.4375</v>
      </c>
      <c r="CY92">
        <f>AA92</f>
        <v>60.71</v>
      </c>
      <c r="CZ92">
        <f>AE92</f>
        <v>52.34</v>
      </c>
      <c r="DA92">
        <f>AI92</f>
        <v>1.1599999999999999</v>
      </c>
      <c r="DB92">
        <f t="shared" si="42"/>
        <v>91.6</v>
      </c>
      <c r="DC92">
        <f t="shared" si="43"/>
        <v>0</v>
      </c>
      <c r="DD92" t="s">
        <v>6</v>
      </c>
      <c r="DE92" t="s">
        <v>6</v>
      </c>
      <c r="DF92">
        <f>ROUND(ROUND(AE92*AI92,2)*CX92,2)</f>
        <v>26.56</v>
      </c>
      <c r="DG92">
        <f t="shared" si="27"/>
        <v>0</v>
      </c>
      <c r="DH92">
        <f t="shared" si="34"/>
        <v>0</v>
      </c>
      <c r="DI92">
        <f t="shared" si="35"/>
        <v>0</v>
      </c>
      <c r="DJ92">
        <f>DF92</f>
        <v>26.56</v>
      </c>
      <c r="DK92">
        <v>0</v>
      </c>
      <c r="DL92" t="s">
        <v>6</v>
      </c>
      <c r="DM92">
        <v>0</v>
      </c>
      <c r="DN92" t="s">
        <v>6</v>
      </c>
      <c r="DO92">
        <v>0</v>
      </c>
    </row>
    <row r="93" spans="1:119">
      <c r="A93">
        <f>ROW(Source!A249)</f>
        <v>249</v>
      </c>
      <c r="B93">
        <v>41853493</v>
      </c>
      <c r="C93">
        <v>41854120</v>
      </c>
      <c r="D93">
        <v>40676108</v>
      </c>
      <c r="E93">
        <v>108</v>
      </c>
      <c r="F93">
        <v>1</v>
      </c>
      <c r="G93">
        <v>1</v>
      </c>
      <c r="H93">
        <v>3</v>
      </c>
      <c r="I93" t="s">
        <v>28</v>
      </c>
      <c r="J93" t="s">
        <v>6</v>
      </c>
      <c r="K93" t="s">
        <v>29</v>
      </c>
      <c r="L93">
        <v>3277935</v>
      </c>
      <c r="N93">
        <v>1013</v>
      </c>
      <c r="O93" t="s">
        <v>30</v>
      </c>
      <c r="P93" t="s">
        <v>30</v>
      </c>
      <c r="Q93">
        <v>1</v>
      </c>
      <c r="W93">
        <v>0</v>
      </c>
      <c r="X93">
        <v>274903907</v>
      </c>
      <c r="Y93">
        <f t="shared" si="41"/>
        <v>2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 t="s">
        <v>6</v>
      </c>
      <c r="AT93">
        <v>2</v>
      </c>
      <c r="AU93" t="s">
        <v>6</v>
      </c>
      <c r="AV93">
        <v>0</v>
      </c>
      <c r="AW93">
        <v>2</v>
      </c>
      <c r="AX93">
        <v>41854126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ROUND(Y93*Source!I249,7)</f>
        <v>0.5</v>
      </c>
      <c r="CY93">
        <f>AA93</f>
        <v>0</v>
      </c>
      <c r="CZ93">
        <f>AE93</f>
        <v>0</v>
      </c>
      <c r="DA93">
        <f>AI93</f>
        <v>1</v>
      </c>
      <c r="DB93">
        <f t="shared" si="42"/>
        <v>0</v>
      </c>
      <c r="DC93">
        <f t="shared" si="43"/>
        <v>0</v>
      </c>
      <c r="DD93" t="s">
        <v>6</v>
      </c>
      <c r="DE93" t="s">
        <v>6</v>
      </c>
      <c r="DF93">
        <f t="shared" ref="DF93:DF99" si="44">ROUND(ROUND(AE93,2)*CX93,2)</f>
        <v>0</v>
      </c>
      <c r="DG93">
        <f t="shared" si="27"/>
        <v>0</v>
      </c>
      <c r="DH93">
        <f t="shared" si="34"/>
        <v>0</v>
      </c>
      <c r="DI93">
        <f t="shared" si="35"/>
        <v>0</v>
      </c>
      <c r="DJ93">
        <f>DF93</f>
        <v>0</v>
      </c>
      <c r="DK93">
        <v>0</v>
      </c>
      <c r="DL93" t="s">
        <v>6</v>
      </c>
      <c r="DM93">
        <v>0</v>
      </c>
      <c r="DN93" t="s">
        <v>6</v>
      </c>
      <c r="DO93">
        <v>0</v>
      </c>
    </row>
    <row r="94" spans="1:119">
      <c r="A94">
        <f>ROW(Source!A251)</f>
        <v>251</v>
      </c>
      <c r="B94">
        <v>41853493</v>
      </c>
      <c r="C94">
        <v>41854128</v>
      </c>
      <c r="D94">
        <v>40669968</v>
      </c>
      <c r="E94">
        <v>108</v>
      </c>
      <c r="F94">
        <v>1</v>
      </c>
      <c r="G94">
        <v>1</v>
      </c>
      <c r="H94">
        <v>1</v>
      </c>
      <c r="I94" t="s">
        <v>361</v>
      </c>
      <c r="J94" t="s">
        <v>6</v>
      </c>
      <c r="K94" t="s">
        <v>362</v>
      </c>
      <c r="L94">
        <v>1191</v>
      </c>
      <c r="N94">
        <v>1013</v>
      </c>
      <c r="O94" t="s">
        <v>321</v>
      </c>
      <c r="P94" t="s">
        <v>321</v>
      </c>
      <c r="Q94">
        <v>1</v>
      </c>
      <c r="W94">
        <v>0</v>
      </c>
      <c r="X94">
        <v>-2012709214</v>
      </c>
      <c r="Y94">
        <f t="shared" si="41"/>
        <v>9.92</v>
      </c>
      <c r="AA94">
        <v>0</v>
      </c>
      <c r="AB94">
        <v>0</v>
      </c>
      <c r="AC94">
        <v>0</v>
      </c>
      <c r="AD94">
        <v>296.32</v>
      </c>
      <c r="AE94">
        <v>0</v>
      </c>
      <c r="AF94">
        <v>0</v>
      </c>
      <c r="AG94">
        <v>0</v>
      </c>
      <c r="AH94">
        <v>296.32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6</v>
      </c>
      <c r="AT94">
        <v>9.92</v>
      </c>
      <c r="AU94" t="s">
        <v>6</v>
      </c>
      <c r="AV94">
        <v>1</v>
      </c>
      <c r="AW94">
        <v>2</v>
      </c>
      <c r="AX94">
        <v>41854129</v>
      </c>
      <c r="AY94">
        <v>1</v>
      </c>
      <c r="AZ94">
        <v>0</v>
      </c>
      <c r="BA94">
        <v>94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2939.4944</v>
      </c>
      <c r="BN94">
        <v>9.92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2939.4944</v>
      </c>
      <c r="BU94">
        <v>9.92</v>
      </c>
      <c r="BV94">
        <v>0</v>
      </c>
      <c r="BW94">
        <v>1</v>
      </c>
      <c r="CU94">
        <f>ROUND(AT94*Source!I251*AH94*AL94,2)</f>
        <v>734.87</v>
      </c>
      <c r="CV94">
        <f>ROUND(Y94*Source!I251,7)</f>
        <v>2.48</v>
      </c>
      <c r="CW94">
        <v>0</v>
      </c>
      <c r="CX94">
        <f>ROUND(Y94*Source!I251,7)</f>
        <v>2.48</v>
      </c>
      <c r="CY94">
        <f>AD94</f>
        <v>296.32</v>
      </c>
      <c r="CZ94">
        <f>AH94</f>
        <v>296.32</v>
      </c>
      <c r="DA94">
        <f>AL94</f>
        <v>1</v>
      </c>
      <c r="DB94">
        <f t="shared" si="42"/>
        <v>2939.49</v>
      </c>
      <c r="DC94">
        <f t="shared" si="43"/>
        <v>0</v>
      </c>
      <c r="DD94" t="s">
        <v>6</v>
      </c>
      <c r="DE94" t="s">
        <v>6</v>
      </c>
      <c r="DF94">
        <f t="shared" si="44"/>
        <v>0</v>
      </c>
      <c r="DG94">
        <f t="shared" si="27"/>
        <v>0</v>
      </c>
      <c r="DH94">
        <f t="shared" si="34"/>
        <v>0</v>
      </c>
      <c r="DI94">
        <f t="shared" si="35"/>
        <v>734.87</v>
      </c>
      <c r="DJ94">
        <f>DI94</f>
        <v>734.87</v>
      </c>
      <c r="DK94">
        <v>1</v>
      </c>
      <c r="DL94" t="s">
        <v>6</v>
      </c>
      <c r="DM94">
        <v>0</v>
      </c>
      <c r="DN94" t="s">
        <v>6</v>
      </c>
      <c r="DO94">
        <v>0</v>
      </c>
    </row>
    <row r="95" spans="1:119">
      <c r="A95">
        <f>ROW(Source!A251)</f>
        <v>251</v>
      </c>
      <c r="B95">
        <v>41853493</v>
      </c>
      <c r="C95">
        <v>41854128</v>
      </c>
      <c r="D95">
        <v>40670210</v>
      </c>
      <c r="E95">
        <v>108</v>
      </c>
      <c r="F95">
        <v>1</v>
      </c>
      <c r="G95">
        <v>1</v>
      </c>
      <c r="H95">
        <v>1</v>
      </c>
      <c r="I95" t="s">
        <v>322</v>
      </c>
      <c r="J95" t="s">
        <v>6</v>
      </c>
      <c r="K95" t="s">
        <v>323</v>
      </c>
      <c r="L95">
        <v>1191</v>
      </c>
      <c r="N95">
        <v>1013</v>
      </c>
      <c r="O95" t="s">
        <v>321</v>
      </c>
      <c r="P95" t="s">
        <v>321</v>
      </c>
      <c r="Q95">
        <v>1</v>
      </c>
      <c r="W95">
        <v>0</v>
      </c>
      <c r="X95">
        <v>-1417349443</v>
      </c>
      <c r="Y95">
        <f t="shared" si="41"/>
        <v>0.4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6</v>
      </c>
      <c r="AT95">
        <v>0.4</v>
      </c>
      <c r="AU95" t="s">
        <v>6</v>
      </c>
      <c r="AV95">
        <v>2</v>
      </c>
      <c r="AW95">
        <v>2</v>
      </c>
      <c r="AX95">
        <v>41854130</v>
      </c>
      <c r="AY95">
        <v>1</v>
      </c>
      <c r="AZ95">
        <v>0</v>
      </c>
      <c r="BA95">
        <v>95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ROUND(Y95*Source!I251,7)</f>
        <v>0.1</v>
      </c>
      <c r="CY95">
        <f>AD95</f>
        <v>0</v>
      </c>
      <c r="CZ95">
        <f>AH95</f>
        <v>0</v>
      </c>
      <c r="DA95">
        <f>AL95</f>
        <v>1</v>
      </c>
      <c r="DB95">
        <f t="shared" si="42"/>
        <v>0</v>
      </c>
      <c r="DC95">
        <f t="shared" si="43"/>
        <v>0</v>
      </c>
      <c r="DD95" t="s">
        <v>6</v>
      </c>
      <c r="DE95" t="s">
        <v>6</v>
      </c>
      <c r="DF95">
        <f t="shared" si="44"/>
        <v>0</v>
      </c>
      <c r="DG95">
        <f t="shared" si="27"/>
        <v>0</v>
      </c>
      <c r="DH95">
        <f t="shared" si="34"/>
        <v>0</v>
      </c>
      <c r="DI95">
        <f t="shared" si="35"/>
        <v>0</v>
      </c>
      <c r="DJ95">
        <f>DI95</f>
        <v>0</v>
      </c>
      <c r="DK95">
        <v>0</v>
      </c>
      <c r="DL95" t="s">
        <v>6</v>
      </c>
      <c r="DM95">
        <v>0</v>
      </c>
      <c r="DN95" t="s">
        <v>6</v>
      </c>
      <c r="DO95">
        <v>0</v>
      </c>
    </row>
    <row r="96" spans="1:119">
      <c r="A96">
        <f>ROW(Source!A251)</f>
        <v>251</v>
      </c>
      <c r="B96">
        <v>41853493</v>
      </c>
      <c r="C96">
        <v>41854128</v>
      </c>
      <c r="D96">
        <v>40987978</v>
      </c>
      <c r="E96">
        <v>1</v>
      </c>
      <c r="F96">
        <v>1</v>
      </c>
      <c r="G96">
        <v>1</v>
      </c>
      <c r="H96">
        <v>2</v>
      </c>
      <c r="I96" t="s">
        <v>324</v>
      </c>
      <c r="J96" t="s">
        <v>325</v>
      </c>
      <c r="K96" t="s">
        <v>326</v>
      </c>
      <c r="L96">
        <v>1368</v>
      </c>
      <c r="N96">
        <v>1011</v>
      </c>
      <c r="O96" t="s">
        <v>327</v>
      </c>
      <c r="P96" t="s">
        <v>327</v>
      </c>
      <c r="Q96">
        <v>1</v>
      </c>
      <c r="W96">
        <v>0</v>
      </c>
      <c r="X96">
        <v>-848025172</v>
      </c>
      <c r="Y96">
        <f t="shared" si="41"/>
        <v>0.2</v>
      </c>
      <c r="AA96">
        <v>0</v>
      </c>
      <c r="AB96">
        <v>1442.85</v>
      </c>
      <c r="AC96">
        <v>407.16</v>
      </c>
      <c r="AD96">
        <v>0</v>
      </c>
      <c r="AE96">
        <v>0</v>
      </c>
      <c r="AF96">
        <v>1442.85</v>
      </c>
      <c r="AG96">
        <v>407.16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6</v>
      </c>
      <c r="AT96">
        <v>0.2</v>
      </c>
      <c r="AU96" t="s">
        <v>6</v>
      </c>
      <c r="AV96">
        <v>1</v>
      </c>
      <c r="AW96">
        <v>2</v>
      </c>
      <c r="AX96">
        <v>41854131</v>
      </c>
      <c r="AY96">
        <v>1</v>
      </c>
      <c r="AZ96">
        <v>0</v>
      </c>
      <c r="BA96">
        <v>96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288.57</v>
      </c>
      <c r="BL96">
        <v>81.432000000000016</v>
      </c>
      <c r="BM96">
        <v>0</v>
      </c>
      <c r="BN96">
        <v>0</v>
      </c>
      <c r="BO96">
        <v>0.2</v>
      </c>
      <c r="BP96">
        <v>1</v>
      </c>
      <c r="BQ96">
        <v>0</v>
      </c>
      <c r="BR96">
        <v>288.57</v>
      </c>
      <c r="BS96">
        <v>81.432000000000016</v>
      </c>
      <c r="BT96">
        <v>0</v>
      </c>
      <c r="BU96">
        <v>0</v>
      </c>
      <c r="BV96">
        <v>0.2</v>
      </c>
      <c r="BW96">
        <v>1</v>
      </c>
      <c r="CV96">
        <v>0</v>
      </c>
      <c r="CW96">
        <f>ROUND(Y96*Source!I251,7)</f>
        <v>0.05</v>
      </c>
      <c r="CX96">
        <f>ROUND(Y96*Source!I251,7)</f>
        <v>0.05</v>
      </c>
      <c r="CY96">
        <f>AB96</f>
        <v>1442.85</v>
      </c>
      <c r="CZ96">
        <f>AF96</f>
        <v>1442.85</v>
      </c>
      <c r="DA96">
        <f>AJ96</f>
        <v>1</v>
      </c>
      <c r="DB96">
        <f t="shared" si="42"/>
        <v>288.57</v>
      </c>
      <c r="DC96">
        <f t="shared" si="43"/>
        <v>81.430000000000007</v>
      </c>
      <c r="DD96" t="s">
        <v>6</v>
      </c>
      <c r="DE96" t="s">
        <v>6</v>
      </c>
      <c r="DF96">
        <f t="shared" si="44"/>
        <v>0</v>
      </c>
      <c r="DG96">
        <f t="shared" si="27"/>
        <v>72.14</v>
      </c>
      <c r="DH96">
        <f t="shared" si="34"/>
        <v>20.36</v>
      </c>
      <c r="DI96">
        <f t="shared" si="35"/>
        <v>0</v>
      </c>
      <c r="DJ96">
        <f>DG96+DH96</f>
        <v>92.5</v>
      </c>
      <c r="DK96">
        <v>1</v>
      </c>
      <c r="DL96" t="s">
        <v>328</v>
      </c>
      <c r="DM96">
        <v>6</v>
      </c>
      <c r="DN96" t="s">
        <v>321</v>
      </c>
      <c r="DO96">
        <v>1</v>
      </c>
    </row>
    <row r="97" spans="1:119">
      <c r="A97">
        <f>ROW(Source!A251)</f>
        <v>251</v>
      </c>
      <c r="B97">
        <v>41853493</v>
      </c>
      <c r="C97">
        <v>41854128</v>
      </c>
      <c r="D97">
        <v>40988121</v>
      </c>
      <c r="E97">
        <v>1</v>
      </c>
      <c r="F97">
        <v>1</v>
      </c>
      <c r="G97">
        <v>1</v>
      </c>
      <c r="H97">
        <v>2</v>
      </c>
      <c r="I97" t="s">
        <v>411</v>
      </c>
      <c r="J97" t="s">
        <v>412</v>
      </c>
      <c r="K97" t="s">
        <v>413</v>
      </c>
      <c r="L97">
        <v>1368</v>
      </c>
      <c r="N97">
        <v>1011</v>
      </c>
      <c r="O97" t="s">
        <v>327</v>
      </c>
      <c r="P97" t="s">
        <v>327</v>
      </c>
      <c r="Q97">
        <v>1</v>
      </c>
      <c r="W97">
        <v>0</v>
      </c>
      <c r="X97">
        <v>30357429</v>
      </c>
      <c r="Y97">
        <f t="shared" si="41"/>
        <v>2.4</v>
      </c>
      <c r="AA97">
        <v>0</v>
      </c>
      <c r="AB97">
        <v>2.42</v>
      </c>
      <c r="AC97">
        <v>0</v>
      </c>
      <c r="AD97">
        <v>0</v>
      </c>
      <c r="AE97">
        <v>0</v>
      </c>
      <c r="AF97">
        <v>1.75</v>
      </c>
      <c r="AG97">
        <v>0</v>
      </c>
      <c r="AH97">
        <v>0</v>
      </c>
      <c r="AI97">
        <v>1</v>
      </c>
      <c r="AJ97">
        <v>1.38</v>
      </c>
      <c r="AK97">
        <v>1</v>
      </c>
      <c r="AL97">
        <v>1</v>
      </c>
      <c r="AM97">
        <v>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6</v>
      </c>
      <c r="AT97">
        <v>2.4</v>
      </c>
      <c r="AU97" t="s">
        <v>6</v>
      </c>
      <c r="AV97">
        <v>1</v>
      </c>
      <c r="AW97">
        <v>2</v>
      </c>
      <c r="AX97">
        <v>41854132</v>
      </c>
      <c r="AY97">
        <v>1</v>
      </c>
      <c r="AZ97">
        <v>0</v>
      </c>
      <c r="BA97">
        <v>97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4.2</v>
      </c>
      <c r="BL97">
        <v>0</v>
      </c>
      <c r="BM97">
        <v>0</v>
      </c>
      <c r="BN97">
        <v>0</v>
      </c>
      <c r="BO97">
        <v>0</v>
      </c>
      <c r="BP97">
        <v>1</v>
      </c>
      <c r="BQ97">
        <v>0</v>
      </c>
      <c r="BR97">
        <v>4.2</v>
      </c>
      <c r="BS97">
        <v>0</v>
      </c>
      <c r="BT97">
        <v>0</v>
      </c>
      <c r="BU97">
        <v>0</v>
      </c>
      <c r="BV97">
        <v>0</v>
      </c>
      <c r="BW97">
        <v>1</v>
      </c>
      <c r="CV97">
        <v>0</v>
      </c>
      <c r="CW97">
        <f>ROUND(Y97*Source!I251,7)</f>
        <v>0.6</v>
      </c>
      <c r="CX97">
        <f>ROUND(Y97*Source!I251,7)</f>
        <v>0.6</v>
      </c>
      <c r="CY97">
        <f>AB97</f>
        <v>2.42</v>
      </c>
      <c r="CZ97">
        <f>AF97</f>
        <v>1.75</v>
      </c>
      <c r="DA97">
        <f>AJ97</f>
        <v>1.38</v>
      </c>
      <c r="DB97">
        <f t="shared" si="42"/>
        <v>4.2</v>
      </c>
      <c r="DC97">
        <f t="shared" si="43"/>
        <v>0</v>
      </c>
      <c r="DD97" t="s">
        <v>6</v>
      </c>
      <c r="DE97" t="s">
        <v>6</v>
      </c>
      <c r="DF97">
        <f t="shared" si="44"/>
        <v>0</v>
      </c>
      <c r="DG97">
        <f>ROUND(ROUND(AF97*AJ97,2)*CX97,2)</f>
        <v>1.45</v>
      </c>
      <c r="DH97">
        <f t="shared" ref="DH97:DH120" si="45">ROUND(ROUND(AG97,2)*CX97,2)</f>
        <v>0</v>
      </c>
      <c r="DI97">
        <f t="shared" ref="DI97:DI120" si="46">ROUND(ROUND(AH97,2)*CX97,2)</f>
        <v>0</v>
      </c>
      <c r="DJ97">
        <f>DG97+DH97</f>
        <v>1.45</v>
      </c>
      <c r="DK97">
        <v>1</v>
      </c>
      <c r="DL97" t="s">
        <v>6</v>
      </c>
      <c r="DM97">
        <v>0</v>
      </c>
      <c r="DN97" t="s">
        <v>6</v>
      </c>
      <c r="DO97">
        <v>0</v>
      </c>
    </row>
    <row r="98" spans="1:119">
      <c r="A98">
        <f>ROW(Source!A251)</f>
        <v>251</v>
      </c>
      <c r="B98">
        <v>41853493</v>
      </c>
      <c r="C98">
        <v>41854128</v>
      </c>
      <c r="D98">
        <v>40988171</v>
      </c>
      <c r="E98">
        <v>1</v>
      </c>
      <c r="F98">
        <v>1</v>
      </c>
      <c r="G98">
        <v>1</v>
      </c>
      <c r="H98">
        <v>2</v>
      </c>
      <c r="I98" t="s">
        <v>414</v>
      </c>
      <c r="J98" t="s">
        <v>415</v>
      </c>
      <c r="K98" t="s">
        <v>416</v>
      </c>
      <c r="L98">
        <v>1368</v>
      </c>
      <c r="N98">
        <v>1011</v>
      </c>
      <c r="O98" t="s">
        <v>327</v>
      </c>
      <c r="P98" t="s">
        <v>327</v>
      </c>
      <c r="Q98">
        <v>1</v>
      </c>
      <c r="W98">
        <v>0</v>
      </c>
      <c r="X98">
        <v>1027374887</v>
      </c>
      <c r="Y98">
        <f t="shared" si="41"/>
        <v>2.4</v>
      </c>
      <c r="AA98">
        <v>0</v>
      </c>
      <c r="AB98">
        <v>11.4</v>
      </c>
      <c r="AC98">
        <v>0</v>
      </c>
      <c r="AD98">
        <v>0</v>
      </c>
      <c r="AE98">
        <v>0</v>
      </c>
      <c r="AF98">
        <v>8.84</v>
      </c>
      <c r="AG98">
        <v>0</v>
      </c>
      <c r="AH98">
        <v>0</v>
      </c>
      <c r="AI98">
        <v>1</v>
      </c>
      <c r="AJ98">
        <v>1.29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6</v>
      </c>
      <c r="AT98">
        <v>2.4</v>
      </c>
      <c r="AU98" t="s">
        <v>6</v>
      </c>
      <c r="AV98">
        <v>1</v>
      </c>
      <c r="AW98">
        <v>2</v>
      </c>
      <c r="AX98">
        <v>41854133</v>
      </c>
      <c r="AY98">
        <v>1</v>
      </c>
      <c r="AZ98">
        <v>0</v>
      </c>
      <c r="BA98">
        <v>98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21.215999999999998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21.215999999999998</v>
      </c>
      <c r="BS98">
        <v>0</v>
      </c>
      <c r="BT98">
        <v>0</v>
      </c>
      <c r="BU98">
        <v>0</v>
      </c>
      <c r="BV98">
        <v>0</v>
      </c>
      <c r="BW98">
        <v>1</v>
      </c>
      <c r="CV98">
        <v>0</v>
      </c>
      <c r="CW98">
        <f>ROUND(Y98*Source!I251,7)</f>
        <v>0.6</v>
      </c>
      <c r="CX98">
        <f>ROUND(Y98*Source!I251,7)</f>
        <v>0.6</v>
      </c>
      <c r="CY98">
        <f>AB98</f>
        <v>11.4</v>
      </c>
      <c r="CZ98">
        <f>AF98</f>
        <v>8.84</v>
      </c>
      <c r="DA98">
        <f>AJ98</f>
        <v>1.29</v>
      </c>
      <c r="DB98">
        <f t="shared" si="42"/>
        <v>21.22</v>
      </c>
      <c r="DC98">
        <f t="shared" si="43"/>
        <v>0</v>
      </c>
      <c r="DD98" t="s">
        <v>6</v>
      </c>
      <c r="DE98" t="s">
        <v>6</v>
      </c>
      <c r="DF98">
        <f t="shared" si="44"/>
        <v>0</v>
      </c>
      <c r="DG98">
        <f>ROUND(ROUND(AF98*AJ98,2)*CX98,2)</f>
        <v>6.84</v>
      </c>
      <c r="DH98">
        <f t="shared" si="45"/>
        <v>0</v>
      </c>
      <c r="DI98">
        <f t="shared" si="46"/>
        <v>0</v>
      </c>
      <c r="DJ98">
        <f>DG98+DH98</f>
        <v>6.84</v>
      </c>
      <c r="DK98">
        <v>1</v>
      </c>
      <c r="DL98" t="s">
        <v>6</v>
      </c>
      <c r="DM98">
        <v>0</v>
      </c>
      <c r="DN98" t="s">
        <v>6</v>
      </c>
      <c r="DO98">
        <v>0</v>
      </c>
    </row>
    <row r="99" spans="1:119">
      <c r="A99">
        <f>ROW(Source!A251)</f>
        <v>251</v>
      </c>
      <c r="B99">
        <v>41853493</v>
      </c>
      <c r="C99">
        <v>41854128</v>
      </c>
      <c r="D99">
        <v>40989217</v>
      </c>
      <c r="E99">
        <v>1</v>
      </c>
      <c r="F99">
        <v>1</v>
      </c>
      <c r="G99">
        <v>1</v>
      </c>
      <c r="H99">
        <v>2</v>
      </c>
      <c r="I99" t="s">
        <v>329</v>
      </c>
      <c r="J99" t="s">
        <v>330</v>
      </c>
      <c r="K99" t="s">
        <v>331</v>
      </c>
      <c r="L99">
        <v>1368</v>
      </c>
      <c r="N99">
        <v>1011</v>
      </c>
      <c r="O99" t="s">
        <v>327</v>
      </c>
      <c r="P99" t="s">
        <v>327</v>
      </c>
      <c r="Q99">
        <v>1</v>
      </c>
      <c r="W99">
        <v>0</v>
      </c>
      <c r="X99">
        <v>1230426758</v>
      </c>
      <c r="Y99">
        <f t="shared" si="41"/>
        <v>0.2</v>
      </c>
      <c r="AA99">
        <v>0</v>
      </c>
      <c r="AB99">
        <v>557.94000000000005</v>
      </c>
      <c r="AC99">
        <v>303.11</v>
      </c>
      <c r="AD99">
        <v>0</v>
      </c>
      <c r="AE99">
        <v>0</v>
      </c>
      <c r="AF99">
        <v>557.94000000000005</v>
      </c>
      <c r="AG99">
        <v>303.11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6</v>
      </c>
      <c r="AT99">
        <v>0.2</v>
      </c>
      <c r="AU99" t="s">
        <v>6</v>
      </c>
      <c r="AV99">
        <v>1</v>
      </c>
      <c r="AW99">
        <v>2</v>
      </c>
      <c r="AX99">
        <v>41854134</v>
      </c>
      <c r="AY99">
        <v>1</v>
      </c>
      <c r="AZ99">
        <v>0</v>
      </c>
      <c r="BA99">
        <v>99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111.58800000000002</v>
      </c>
      <c r="BL99">
        <v>60.622000000000007</v>
      </c>
      <c r="BM99">
        <v>0</v>
      </c>
      <c r="BN99">
        <v>0</v>
      </c>
      <c r="BO99">
        <v>0.2</v>
      </c>
      <c r="BP99">
        <v>1</v>
      </c>
      <c r="BQ99">
        <v>0</v>
      </c>
      <c r="BR99">
        <v>111.58800000000002</v>
      </c>
      <c r="BS99">
        <v>60.622000000000007</v>
      </c>
      <c r="BT99">
        <v>0</v>
      </c>
      <c r="BU99">
        <v>0</v>
      </c>
      <c r="BV99">
        <v>0.2</v>
      </c>
      <c r="BW99">
        <v>1</v>
      </c>
      <c r="CV99">
        <v>0</v>
      </c>
      <c r="CW99">
        <f>ROUND(Y99*Source!I251,7)</f>
        <v>0.05</v>
      </c>
      <c r="CX99">
        <f>ROUND(Y99*Source!I251,7)</f>
        <v>0.05</v>
      </c>
      <c r="CY99">
        <f>AB99</f>
        <v>557.94000000000005</v>
      </c>
      <c r="CZ99">
        <f>AF99</f>
        <v>557.94000000000005</v>
      </c>
      <c r="DA99">
        <f>AJ99</f>
        <v>1</v>
      </c>
      <c r="DB99">
        <f t="shared" si="42"/>
        <v>111.59</v>
      </c>
      <c r="DC99">
        <f t="shared" si="43"/>
        <v>60.62</v>
      </c>
      <c r="DD99" t="s">
        <v>6</v>
      </c>
      <c r="DE99" t="s">
        <v>6</v>
      </c>
      <c r="DF99">
        <f t="shared" si="44"/>
        <v>0</v>
      </c>
      <c r="DG99">
        <f t="shared" ref="DG99:DG120" si="47">ROUND(ROUND(AF99,2)*CX99,2)</f>
        <v>27.9</v>
      </c>
      <c r="DH99">
        <f t="shared" si="45"/>
        <v>15.16</v>
      </c>
      <c r="DI99">
        <f t="shared" si="46"/>
        <v>0</v>
      </c>
      <c r="DJ99">
        <f>DG99+DH99</f>
        <v>43.06</v>
      </c>
      <c r="DK99">
        <v>1</v>
      </c>
      <c r="DL99" t="s">
        <v>332</v>
      </c>
      <c r="DM99">
        <v>4</v>
      </c>
      <c r="DN99" t="s">
        <v>321</v>
      </c>
      <c r="DO99">
        <v>1</v>
      </c>
    </row>
    <row r="100" spans="1:119">
      <c r="A100">
        <f>ROW(Source!A251)</f>
        <v>251</v>
      </c>
      <c r="B100">
        <v>41853493</v>
      </c>
      <c r="C100">
        <v>41854128</v>
      </c>
      <c r="D100">
        <v>40994286</v>
      </c>
      <c r="E100">
        <v>1</v>
      </c>
      <c r="F100">
        <v>1</v>
      </c>
      <c r="G100">
        <v>1</v>
      </c>
      <c r="H100">
        <v>3</v>
      </c>
      <c r="I100" t="s">
        <v>417</v>
      </c>
      <c r="J100" t="s">
        <v>418</v>
      </c>
      <c r="K100" t="s">
        <v>419</v>
      </c>
      <c r="L100">
        <v>1302</v>
      </c>
      <c r="N100">
        <v>1003</v>
      </c>
      <c r="O100" t="s">
        <v>420</v>
      </c>
      <c r="P100" t="s">
        <v>420</v>
      </c>
      <c r="Q100">
        <v>10</v>
      </c>
      <c r="W100">
        <v>0</v>
      </c>
      <c r="X100">
        <v>-2131833725</v>
      </c>
      <c r="Y100">
        <f t="shared" si="41"/>
        <v>9.6000000000000002E-2</v>
      </c>
      <c r="AA100">
        <v>53.17</v>
      </c>
      <c r="AB100">
        <v>0</v>
      </c>
      <c r="AC100">
        <v>0</v>
      </c>
      <c r="AD100">
        <v>0</v>
      </c>
      <c r="AE100">
        <v>37.71</v>
      </c>
      <c r="AF100">
        <v>0</v>
      </c>
      <c r="AG100">
        <v>0</v>
      </c>
      <c r="AH100">
        <v>0</v>
      </c>
      <c r="AI100">
        <v>1.41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6</v>
      </c>
      <c r="AT100">
        <v>9.6000000000000002E-2</v>
      </c>
      <c r="AU100" t="s">
        <v>6</v>
      </c>
      <c r="AV100">
        <v>0</v>
      </c>
      <c r="AW100">
        <v>2</v>
      </c>
      <c r="AX100">
        <v>41854135</v>
      </c>
      <c r="AY100">
        <v>1</v>
      </c>
      <c r="AZ100">
        <v>0</v>
      </c>
      <c r="BA100">
        <v>100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3.6201600000000003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3.6201600000000003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1</v>
      </c>
      <c r="CV100">
        <v>0</v>
      </c>
      <c r="CW100">
        <v>0</v>
      </c>
      <c r="CX100">
        <f>ROUND(Y100*Source!I251,7)</f>
        <v>2.4E-2</v>
      </c>
      <c r="CY100">
        <f>AA100</f>
        <v>53.17</v>
      </c>
      <c r="CZ100">
        <f>AE100</f>
        <v>37.71</v>
      </c>
      <c r="DA100">
        <f>AI100</f>
        <v>1.41</v>
      </c>
      <c r="DB100">
        <f t="shared" si="42"/>
        <v>3.62</v>
      </c>
      <c r="DC100">
        <f t="shared" si="43"/>
        <v>0</v>
      </c>
      <c r="DD100" t="s">
        <v>6</v>
      </c>
      <c r="DE100" t="s">
        <v>6</v>
      </c>
      <c r="DF100">
        <f>ROUND(ROUND(AE100*AI100,2)*CX100,2)</f>
        <v>1.28</v>
      </c>
      <c r="DG100">
        <f t="shared" si="47"/>
        <v>0</v>
      </c>
      <c r="DH100">
        <f t="shared" si="45"/>
        <v>0</v>
      </c>
      <c r="DI100">
        <f t="shared" si="46"/>
        <v>0</v>
      </c>
      <c r="DJ100">
        <f>DF100</f>
        <v>1.28</v>
      </c>
      <c r="DK100">
        <v>0</v>
      </c>
      <c r="DL100" t="s">
        <v>6</v>
      </c>
      <c r="DM100">
        <v>0</v>
      </c>
      <c r="DN100" t="s">
        <v>6</v>
      </c>
      <c r="DO100">
        <v>0</v>
      </c>
    </row>
    <row r="101" spans="1:119">
      <c r="A101">
        <f>ROW(Source!A251)</f>
        <v>251</v>
      </c>
      <c r="B101">
        <v>41853493</v>
      </c>
      <c r="C101">
        <v>41854128</v>
      </c>
      <c r="D101">
        <v>41010390</v>
      </c>
      <c r="E101">
        <v>1</v>
      </c>
      <c r="F101">
        <v>1</v>
      </c>
      <c r="G101">
        <v>1</v>
      </c>
      <c r="H101">
        <v>3</v>
      </c>
      <c r="I101" t="s">
        <v>421</v>
      </c>
      <c r="J101" t="s">
        <v>422</v>
      </c>
      <c r="K101" t="s">
        <v>423</v>
      </c>
      <c r="L101">
        <v>1346</v>
      </c>
      <c r="N101">
        <v>1009</v>
      </c>
      <c r="O101" t="s">
        <v>344</v>
      </c>
      <c r="P101" t="s">
        <v>344</v>
      </c>
      <c r="Q101">
        <v>1</v>
      </c>
      <c r="W101">
        <v>0</v>
      </c>
      <c r="X101">
        <v>-1430972015</v>
      </c>
      <c r="Y101">
        <f t="shared" si="41"/>
        <v>0.5</v>
      </c>
      <c r="AA101">
        <v>810.07</v>
      </c>
      <c r="AB101">
        <v>0</v>
      </c>
      <c r="AC101">
        <v>0</v>
      </c>
      <c r="AD101">
        <v>0</v>
      </c>
      <c r="AE101">
        <v>931.11</v>
      </c>
      <c r="AF101">
        <v>0</v>
      </c>
      <c r="AG101">
        <v>0</v>
      </c>
      <c r="AH101">
        <v>0</v>
      </c>
      <c r="AI101">
        <v>0.87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6</v>
      </c>
      <c r="AT101">
        <v>0.5</v>
      </c>
      <c r="AU101" t="s">
        <v>6</v>
      </c>
      <c r="AV101">
        <v>0</v>
      </c>
      <c r="AW101">
        <v>2</v>
      </c>
      <c r="AX101">
        <v>41854136</v>
      </c>
      <c r="AY101">
        <v>1</v>
      </c>
      <c r="AZ101">
        <v>0</v>
      </c>
      <c r="BA101">
        <v>101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465.55500000000001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1</v>
      </c>
      <c r="BQ101">
        <v>465.55500000000001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1</v>
      </c>
      <c r="CV101">
        <v>0</v>
      </c>
      <c r="CW101">
        <v>0</v>
      </c>
      <c r="CX101">
        <f>ROUND(Y101*Source!I251,7)</f>
        <v>0.125</v>
      </c>
      <c r="CY101">
        <f>AA101</f>
        <v>810.07</v>
      </c>
      <c r="CZ101">
        <f>AE101</f>
        <v>931.11</v>
      </c>
      <c r="DA101">
        <f>AI101</f>
        <v>0.87</v>
      </c>
      <c r="DB101">
        <f t="shared" si="42"/>
        <v>465.56</v>
      </c>
      <c r="DC101">
        <f t="shared" si="43"/>
        <v>0</v>
      </c>
      <c r="DD101" t="s">
        <v>6</v>
      </c>
      <c r="DE101" t="s">
        <v>6</v>
      </c>
      <c r="DF101">
        <f>ROUND(ROUND(AE101*AI101,2)*CX101,2)</f>
        <v>101.26</v>
      </c>
      <c r="DG101">
        <f t="shared" si="47"/>
        <v>0</v>
      </c>
      <c r="DH101">
        <f t="shared" si="45"/>
        <v>0</v>
      </c>
      <c r="DI101">
        <f t="shared" si="46"/>
        <v>0</v>
      </c>
      <c r="DJ101">
        <f>DF101</f>
        <v>101.26</v>
      </c>
      <c r="DK101">
        <v>0</v>
      </c>
      <c r="DL101" t="s">
        <v>6</v>
      </c>
      <c r="DM101">
        <v>0</v>
      </c>
      <c r="DN101" t="s">
        <v>6</v>
      </c>
      <c r="DO101">
        <v>0</v>
      </c>
    </row>
    <row r="102" spans="1:119">
      <c r="A102">
        <f>ROW(Source!A251)</f>
        <v>251</v>
      </c>
      <c r="B102">
        <v>41853493</v>
      </c>
      <c r="C102">
        <v>41854128</v>
      </c>
      <c r="D102">
        <v>41024923</v>
      </c>
      <c r="E102">
        <v>1</v>
      </c>
      <c r="F102">
        <v>1</v>
      </c>
      <c r="G102">
        <v>1</v>
      </c>
      <c r="H102">
        <v>3</v>
      </c>
      <c r="I102" t="s">
        <v>424</v>
      </c>
      <c r="J102" t="s">
        <v>425</v>
      </c>
      <c r="K102" t="s">
        <v>426</v>
      </c>
      <c r="L102">
        <v>1348</v>
      </c>
      <c r="N102">
        <v>1009</v>
      </c>
      <c r="O102" t="s">
        <v>37</v>
      </c>
      <c r="P102" t="s">
        <v>37</v>
      </c>
      <c r="Q102">
        <v>1000</v>
      </c>
      <c r="W102">
        <v>0</v>
      </c>
      <c r="X102">
        <v>-246350641</v>
      </c>
      <c r="Y102">
        <f t="shared" si="41"/>
        <v>6.0000000000000002E-5</v>
      </c>
      <c r="AA102">
        <v>99237.77</v>
      </c>
      <c r="AB102">
        <v>0</v>
      </c>
      <c r="AC102">
        <v>0</v>
      </c>
      <c r="AD102">
        <v>0</v>
      </c>
      <c r="AE102">
        <v>82698.14</v>
      </c>
      <c r="AF102">
        <v>0</v>
      </c>
      <c r="AG102">
        <v>0</v>
      </c>
      <c r="AH102">
        <v>0</v>
      </c>
      <c r="AI102">
        <v>1.2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6</v>
      </c>
      <c r="AT102">
        <v>6.0000000000000002E-5</v>
      </c>
      <c r="AU102" t="s">
        <v>6</v>
      </c>
      <c r="AV102">
        <v>0</v>
      </c>
      <c r="AW102">
        <v>2</v>
      </c>
      <c r="AX102">
        <v>41854137</v>
      </c>
      <c r="AY102">
        <v>1</v>
      </c>
      <c r="AZ102">
        <v>0</v>
      </c>
      <c r="BA102">
        <v>102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4.9618884000000003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4.9618884000000003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ROUND(Y102*Source!I251,7)</f>
        <v>1.5E-5</v>
      </c>
      <c r="CY102">
        <f>AA102</f>
        <v>99237.77</v>
      </c>
      <c r="CZ102">
        <f>AE102</f>
        <v>82698.14</v>
      </c>
      <c r="DA102">
        <f>AI102</f>
        <v>1.2</v>
      </c>
      <c r="DB102">
        <f t="shared" si="42"/>
        <v>4.96</v>
      </c>
      <c r="DC102">
        <f t="shared" si="43"/>
        <v>0</v>
      </c>
      <c r="DD102" t="s">
        <v>6</v>
      </c>
      <c r="DE102" t="s">
        <v>6</v>
      </c>
      <c r="DF102">
        <f>ROUND(ROUND(AE102*AI102,2)*CX102,2)</f>
        <v>1.49</v>
      </c>
      <c r="DG102">
        <f t="shared" si="47"/>
        <v>0</v>
      </c>
      <c r="DH102">
        <f t="shared" si="45"/>
        <v>0</v>
      </c>
      <c r="DI102">
        <f t="shared" si="46"/>
        <v>0</v>
      </c>
      <c r="DJ102">
        <f>DF102</f>
        <v>1.49</v>
      </c>
      <c r="DK102">
        <v>0</v>
      </c>
      <c r="DL102" t="s">
        <v>6</v>
      </c>
      <c r="DM102">
        <v>0</v>
      </c>
      <c r="DN102" t="s">
        <v>6</v>
      </c>
      <c r="DO102">
        <v>0</v>
      </c>
    </row>
    <row r="103" spans="1:119">
      <c r="A103">
        <f>ROW(Source!A251)</f>
        <v>251</v>
      </c>
      <c r="B103">
        <v>41853493</v>
      </c>
      <c r="C103">
        <v>41854128</v>
      </c>
      <c r="D103">
        <v>40676108</v>
      </c>
      <c r="E103">
        <v>108</v>
      </c>
      <c r="F103">
        <v>1</v>
      </c>
      <c r="G103">
        <v>1</v>
      </c>
      <c r="H103">
        <v>3</v>
      </c>
      <c r="I103" t="s">
        <v>28</v>
      </c>
      <c r="J103" t="s">
        <v>6</v>
      </c>
      <c r="K103" t="s">
        <v>29</v>
      </c>
      <c r="L103">
        <v>3277935</v>
      </c>
      <c r="N103">
        <v>1013</v>
      </c>
      <c r="O103" t="s">
        <v>30</v>
      </c>
      <c r="P103" t="s">
        <v>30</v>
      </c>
      <c r="Q103">
        <v>1</v>
      </c>
      <c r="W103">
        <v>0</v>
      </c>
      <c r="X103">
        <v>274903907</v>
      </c>
      <c r="Y103">
        <f t="shared" si="41"/>
        <v>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6</v>
      </c>
      <c r="AT103">
        <v>2</v>
      </c>
      <c r="AU103" t="s">
        <v>6</v>
      </c>
      <c r="AV103">
        <v>0</v>
      </c>
      <c r="AW103">
        <v>2</v>
      </c>
      <c r="AX103">
        <v>41854138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ROUND(Y103*Source!I251,7)</f>
        <v>0.5</v>
      </c>
      <c r="CY103">
        <f>AA103</f>
        <v>0</v>
      </c>
      <c r="CZ103">
        <f>AE103</f>
        <v>0</v>
      </c>
      <c r="DA103">
        <f>AI103</f>
        <v>1</v>
      </c>
      <c r="DB103">
        <f t="shared" si="42"/>
        <v>0</v>
      </c>
      <c r="DC103">
        <f t="shared" si="43"/>
        <v>0</v>
      </c>
      <c r="DD103" t="s">
        <v>6</v>
      </c>
      <c r="DE103" t="s">
        <v>6</v>
      </c>
      <c r="DF103">
        <f t="shared" ref="DF103:DF108" si="48">ROUND(ROUND(AE103,2)*CX103,2)</f>
        <v>0</v>
      </c>
      <c r="DG103">
        <f t="shared" si="47"/>
        <v>0</v>
      </c>
      <c r="DH103">
        <f t="shared" si="45"/>
        <v>0</v>
      </c>
      <c r="DI103">
        <f t="shared" si="46"/>
        <v>0</v>
      </c>
      <c r="DJ103">
        <f>DF103</f>
        <v>0</v>
      </c>
      <c r="DK103">
        <v>0</v>
      </c>
      <c r="DL103" t="s">
        <v>6</v>
      </c>
      <c r="DM103">
        <v>0</v>
      </c>
      <c r="DN103" t="s">
        <v>6</v>
      </c>
      <c r="DO103">
        <v>0</v>
      </c>
    </row>
    <row r="104" spans="1:119">
      <c r="A104">
        <f>ROW(Source!A253)</f>
        <v>253</v>
      </c>
      <c r="B104">
        <v>41853493</v>
      </c>
      <c r="C104">
        <v>41854140</v>
      </c>
      <c r="D104">
        <v>40669968</v>
      </c>
      <c r="E104">
        <v>108</v>
      </c>
      <c r="F104">
        <v>1</v>
      </c>
      <c r="G104">
        <v>1</v>
      </c>
      <c r="H104">
        <v>1</v>
      </c>
      <c r="I104" t="s">
        <v>361</v>
      </c>
      <c r="J104" t="s">
        <v>6</v>
      </c>
      <c r="K104" t="s">
        <v>362</v>
      </c>
      <c r="L104">
        <v>1191</v>
      </c>
      <c r="N104">
        <v>1013</v>
      </c>
      <c r="O104" t="s">
        <v>321</v>
      </c>
      <c r="P104" t="s">
        <v>321</v>
      </c>
      <c r="Q104">
        <v>1</v>
      </c>
      <c r="W104">
        <v>0</v>
      </c>
      <c r="X104">
        <v>-2012709214</v>
      </c>
      <c r="Y104">
        <f t="shared" si="41"/>
        <v>14.4</v>
      </c>
      <c r="AA104">
        <v>0</v>
      </c>
      <c r="AB104">
        <v>0</v>
      </c>
      <c r="AC104">
        <v>0</v>
      </c>
      <c r="AD104">
        <v>296.32</v>
      </c>
      <c r="AE104">
        <v>0</v>
      </c>
      <c r="AF104">
        <v>0</v>
      </c>
      <c r="AG104">
        <v>0</v>
      </c>
      <c r="AH104">
        <v>296.32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6</v>
      </c>
      <c r="AT104">
        <v>14.4</v>
      </c>
      <c r="AU104" t="s">
        <v>6</v>
      </c>
      <c r="AV104">
        <v>1</v>
      </c>
      <c r="AW104">
        <v>2</v>
      </c>
      <c r="AX104">
        <v>41854141</v>
      </c>
      <c r="AY104">
        <v>1</v>
      </c>
      <c r="AZ104">
        <v>0</v>
      </c>
      <c r="BA104">
        <v>104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4267.0079999999998</v>
      </c>
      <c r="BN104">
        <v>14.4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4267.0079999999998</v>
      </c>
      <c r="BU104">
        <v>14.4</v>
      </c>
      <c r="BV104">
        <v>0</v>
      </c>
      <c r="BW104">
        <v>1</v>
      </c>
      <c r="CU104">
        <f>ROUND(AT104*Source!I253*AH104*AL104,2)</f>
        <v>85.34</v>
      </c>
      <c r="CV104">
        <f>ROUND(Y104*Source!I253,7)</f>
        <v>0.28799999999999998</v>
      </c>
      <c r="CW104">
        <v>0</v>
      </c>
      <c r="CX104">
        <f>ROUND(Y104*Source!I253,7)</f>
        <v>0.28799999999999998</v>
      </c>
      <c r="CY104">
        <f>AD104</f>
        <v>296.32</v>
      </c>
      <c r="CZ104">
        <f>AH104</f>
        <v>296.32</v>
      </c>
      <c r="DA104">
        <f>AL104</f>
        <v>1</v>
      </c>
      <c r="DB104">
        <f t="shared" si="42"/>
        <v>4267.01</v>
      </c>
      <c r="DC104">
        <f t="shared" si="43"/>
        <v>0</v>
      </c>
      <c r="DD104" t="s">
        <v>6</v>
      </c>
      <c r="DE104" t="s">
        <v>6</v>
      </c>
      <c r="DF104">
        <f t="shared" si="48"/>
        <v>0</v>
      </c>
      <c r="DG104">
        <f t="shared" si="47"/>
        <v>0</v>
      </c>
      <c r="DH104">
        <f t="shared" si="45"/>
        <v>0</v>
      </c>
      <c r="DI104">
        <f t="shared" si="46"/>
        <v>85.34</v>
      </c>
      <c r="DJ104">
        <f>DI104</f>
        <v>85.34</v>
      </c>
      <c r="DK104">
        <v>1</v>
      </c>
      <c r="DL104" t="s">
        <v>6</v>
      </c>
      <c r="DM104">
        <v>0</v>
      </c>
      <c r="DN104" t="s">
        <v>6</v>
      </c>
      <c r="DO104">
        <v>0</v>
      </c>
    </row>
    <row r="105" spans="1:119">
      <c r="A105">
        <f>ROW(Source!A253)</f>
        <v>253</v>
      </c>
      <c r="B105">
        <v>41853493</v>
      </c>
      <c r="C105">
        <v>41854140</v>
      </c>
      <c r="D105">
        <v>40670210</v>
      </c>
      <c r="E105">
        <v>108</v>
      </c>
      <c r="F105">
        <v>1</v>
      </c>
      <c r="G105">
        <v>1</v>
      </c>
      <c r="H105">
        <v>1</v>
      </c>
      <c r="I105" t="s">
        <v>322</v>
      </c>
      <c r="J105" t="s">
        <v>6</v>
      </c>
      <c r="K105" t="s">
        <v>323</v>
      </c>
      <c r="L105">
        <v>1191</v>
      </c>
      <c r="N105">
        <v>1013</v>
      </c>
      <c r="O105" t="s">
        <v>321</v>
      </c>
      <c r="P105" t="s">
        <v>321</v>
      </c>
      <c r="Q105">
        <v>1</v>
      </c>
      <c r="W105">
        <v>0</v>
      </c>
      <c r="X105">
        <v>-1417349443</v>
      </c>
      <c r="Y105">
        <f t="shared" si="41"/>
        <v>0.4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6</v>
      </c>
      <c r="AT105">
        <v>0.4</v>
      </c>
      <c r="AU105" t="s">
        <v>6</v>
      </c>
      <c r="AV105">
        <v>2</v>
      </c>
      <c r="AW105">
        <v>2</v>
      </c>
      <c r="AX105">
        <v>41854142</v>
      </c>
      <c r="AY105">
        <v>1</v>
      </c>
      <c r="AZ105">
        <v>0</v>
      </c>
      <c r="BA105">
        <v>105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ROUND(Y105*Source!I253,7)</f>
        <v>8.0000000000000002E-3</v>
      </c>
      <c r="CY105">
        <f>AD105</f>
        <v>0</v>
      </c>
      <c r="CZ105">
        <f>AH105</f>
        <v>0</v>
      </c>
      <c r="DA105">
        <f>AL105</f>
        <v>1</v>
      </c>
      <c r="DB105">
        <f t="shared" si="42"/>
        <v>0</v>
      </c>
      <c r="DC105">
        <f t="shared" si="43"/>
        <v>0</v>
      </c>
      <c r="DD105" t="s">
        <v>6</v>
      </c>
      <c r="DE105" t="s">
        <v>6</v>
      </c>
      <c r="DF105">
        <f t="shared" si="48"/>
        <v>0</v>
      </c>
      <c r="DG105">
        <f t="shared" si="47"/>
        <v>0</v>
      </c>
      <c r="DH105">
        <f t="shared" si="45"/>
        <v>0</v>
      </c>
      <c r="DI105">
        <f t="shared" si="46"/>
        <v>0</v>
      </c>
      <c r="DJ105">
        <f>DI105</f>
        <v>0</v>
      </c>
      <c r="DK105">
        <v>0</v>
      </c>
      <c r="DL105" t="s">
        <v>6</v>
      </c>
      <c r="DM105">
        <v>0</v>
      </c>
      <c r="DN105" t="s">
        <v>6</v>
      </c>
      <c r="DO105">
        <v>0</v>
      </c>
    </row>
    <row r="106" spans="1:119">
      <c r="A106">
        <f>ROW(Source!A253)</f>
        <v>253</v>
      </c>
      <c r="B106">
        <v>41853493</v>
      </c>
      <c r="C106">
        <v>41854140</v>
      </c>
      <c r="D106">
        <v>40987978</v>
      </c>
      <c r="E106">
        <v>1</v>
      </c>
      <c r="F106">
        <v>1</v>
      </c>
      <c r="G106">
        <v>1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327</v>
      </c>
      <c r="P106" t="s">
        <v>327</v>
      </c>
      <c r="Q106">
        <v>1</v>
      </c>
      <c r="W106">
        <v>0</v>
      </c>
      <c r="X106">
        <v>-848025172</v>
      </c>
      <c r="Y106">
        <f t="shared" si="41"/>
        <v>0.2</v>
      </c>
      <c r="AA106">
        <v>0</v>
      </c>
      <c r="AB106">
        <v>1442.85</v>
      </c>
      <c r="AC106">
        <v>407.16</v>
      </c>
      <c r="AD106">
        <v>0</v>
      </c>
      <c r="AE106">
        <v>0</v>
      </c>
      <c r="AF106">
        <v>1442.85</v>
      </c>
      <c r="AG106">
        <v>407.16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6</v>
      </c>
      <c r="AT106">
        <v>0.2</v>
      </c>
      <c r="AU106" t="s">
        <v>6</v>
      </c>
      <c r="AV106">
        <v>1</v>
      </c>
      <c r="AW106">
        <v>2</v>
      </c>
      <c r="AX106">
        <v>41854143</v>
      </c>
      <c r="AY106">
        <v>1</v>
      </c>
      <c r="AZ106">
        <v>0</v>
      </c>
      <c r="BA106">
        <v>106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288.57</v>
      </c>
      <c r="BL106">
        <v>81.432000000000016</v>
      </c>
      <c r="BM106">
        <v>0</v>
      </c>
      <c r="BN106">
        <v>0</v>
      </c>
      <c r="BO106">
        <v>0.2</v>
      </c>
      <c r="BP106">
        <v>1</v>
      </c>
      <c r="BQ106">
        <v>0</v>
      </c>
      <c r="BR106">
        <v>288.57</v>
      </c>
      <c r="BS106">
        <v>81.432000000000016</v>
      </c>
      <c r="BT106">
        <v>0</v>
      </c>
      <c r="BU106">
        <v>0</v>
      </c>
      <c r="BV106">
        <v>0.2</v>
      </c>
      <c r="BW106">
        <v>1</v>
      </c>
      <c r="CV106">
        <v>0</v>
      </c>
      <c r="CW106">
        <f>ROUND(Y106*Source!I253,7)</f>
        <v>4.0000000000000001E-3</v>
      </c>
      <c r="CX106">
        <f>ROUND(Y106*Source!I253,7)</f>
        <v>4.0000000000000001E-3</v>
      </c>
      <c r="CY106">
        <f>AB106</f>
        <v>1442.85</v>
      </c>
      <c r="CZ106">
        <f>AF106</f>
        <v>1442.85</v>
      </c>
      <c r="DA106">
        <f>AJ106</f>
        <v>1</v>
      </c>
      <c r="DB106">
        <f t="shared" si="42"/>
        <v>288.57</v>
      </c>
      <c r="DC106">
        <f t="shared" si="43"/>
        <v>81.430000000000007</v>
      </c>
      <c r="DD106" t="s">
        <v>6</v>
      </c>
      <c r="DE106" t="s">
        <v>6</v>
      </c>
      <c r="DF106">
        <f t="shared" si="48"/>
        <v>0</v>
      </c>
      <c r="DG106">
        <f t="shared" si="47"/>
        <v>5.77</v>
      </c>
      <c r="DH106">
        <f t="shared" si="45"/>
        <v>1.63</v>
      </c>
      <c r="DI106">
        <f t="shared" si="46"/>
        <v>0</v>
      </c>
      <c r="DJ106">
        <f>DG106+DH106</f>
        <v>7.3999999999999995</v>
      </c>
      <c r="DK106">
        <v>1</v>
      </c>
      <c r="DL106" t="s">
        <v>328</v>
      </c>
      <c r="DM106">
        <v>6</v>
      </c>
      <c r="DN106" t="s">
        <v>321</v>
      </c>
      <c r="DO106">
        <v>1</v>
      </c>
    </row>
    <row r="107" spans="1:119">
      <c r="A107">
        <f>ROW(Source!A253)</f>
        <v>253</v>
      </c>
      <c r="B107">
        <v>41853493</v>
      </c>
      <c r="C107">
        <v>41854140</v>
      </c>
      <c r="D107">
        <v>40989217</v>
      </c>
      <c r="E107">
        <v>1</v>
      </c>
      <c r="F107">
        <v>1</v>
      </c>
      <c r="G107">
        <v>1</v>
      </c>
      <c r="H107">
        <v>2</v>
      </c>
      <c r="I107" t="s">
        <v>329</v>
      </c>
      <c r="J107" t="s">
        <v>330</v>
      </c>
      <c r="K107" t="s">
        <v>331</v>
      </c>
      <c r="L107">
        <v>1368</v>
      </c>
      <c r="N107">
        <v>1011</v>
      </c>
      <c r="O107" t="s">
        <v>327</v>
      </c>
      <c r="P107" t="s">
        <v>327</v>
      </c>
      <c r="Q107">
        <v>1</v>
      </c>
      <c r="W107">
        <v>0</v>
      </c>
      <c r="X107">
        <v>1230426758</v>
      </c>
      <c r="Y107">
        <f t="shared" si="41"/>
        <v>0.2</v>
      </c>
      <c r="AA107">
        <v>0</v>
      </c>
      <c r="AB107">
        <v>557.94000000000005</v>
      </c>
      <c r="AC107">
        <v>303.11</v>
      </c>
      <c r="AD107">
        <v>0</v>
      </c>
      <c r="AE107">
        <v>0</v>
      </c>
      <c r="AF107">
        <v>557.94000000000005</v>
      </c>
      <c r="AG107">
        <v>303.11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6</v>
      </c>
      <c r="AT107">
        <v>0.2</v>
      </c>
      <c r="AU107" t="s">
        <v>6</v>
      </c>
      <c r="AV107">
        <v>1</v>
      </c>
      <c r="AW107">
        <v>2</v>
      </c>
      <c r="AX107">
        <v>41854144</v>
      </c>
      <c r="AY107">
        <v>1</v>
      </c>
      <c r="AZ107">
        <v>0</v>
      </c>
      <c r="BA107">
        <v>107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111.58800000000002</v>
      </c>
      <c r="BL107">
        <v>60.622000000000007</v>
      </c>
      <c r="BM107">
        <v>0</v>
      </c>
      <c r="BN107">
        <v>0</v>
      </c>
      <c r="BO107">
        <v>0.2</v>
      </c>
      <c r="BP107">
        <v>1</v>
      </c>
      <c r="BQ107">
        <v>0</v>
      </c>
      <c r="BR107">
        <v>111.58800000000002</v>
      </c>
      <c r="BS107">
        <v>60.622000000000007</v>
      </c>
      <c r="BT107">
        <v>0</v>
      </c>
      <c r="BU107">
        <v>0</v>
      </c>
      <c r="BV107">
        <v>0.2</v>
      </c>
      <c r="BW107">
        <v>1</v>
      </c>
      <c r="CV107">
        <v>0</v>
      </c>
      <c r="CW107">
        <f>ROUND(Y107*Source!I253,7)</f>
        <v>4.0000000000000001E-3</v>
      </c>
      <c r="CX107">
        <f>ROUND(Y107*Source!I253,7)</f>
        <v>4.0000000000000001E-3</v>
      </c>
      <c r="CY107">
        <f>AB107</f>
        <v>557.94000000000005</v>
      </c>
      <c r="CZ107">
        <f>AF107</f>
        <v>557.94000000000005</v>
      </c>
      <c r="DA107">
        <f>AJ107</f>
        <v>1</v>
      </c>
      <c r="DB107">
        <f t="shared" si="42"/>
        <v>111.59</v>
      </c>
      <c r="DC107">
        <f t="shared" si="43"/>
        <v>60.62</v>
      </c>
      <c r="DD107" t="s">
        <v>6</v>
      </c>
      <c r="DE107" t="s">
        <v>6</v>
      </c>
      <c r="DF107">
        <f t="shared" si="48"/>
        <v>0</v>
      </c>
      <c r="DG107">
        <f t="shared" si="47"/>
        <v>2.23</v>
      </c>
      <c r="DH107">
        <f t="shared" si="45"/>
        <v>1.21</v>
      </c>
      <c r="DI107">
        <f t="shared" si="46"/>
        <v>0</v>
      </c>
      <c r="DJ107">
        <f>DG107+DH107</f>
        <v>3.44</v>
      </c>
      <c r="DK107">
        <v>1</v>
      </c>
      <c r="DL107" t="s">
        <v>332</v>
      </c>
      <c r="DM107">
        <v>4</v>
      </c>
      <c r="DN107" t="s">
        <v>321</v>
      </c>
      <c r="DO107">
        <v>1</v>
      </c>
    </row>
    <row r="108" spans="1:119">
      <c r="A108">
        <f>ROW(Source!A253)</f>
        <v>253</v>
      </c>
      <c r="B108">
        <v>41853493</v>
      </c>
      <c r="C108">
        <v>41854140</v>
      </c>
      <c r="D108">
        <v>40989496</v>
      </c>
      <c r="E108">
        <v>1</v>
      </c>
      <c r="F108">
        <v>1</v>
      </c>
      <c r="G108">
        <v>1</v>
      </c>
      <c r="H108">
        <v>2</v>
      </c>
      <c r="I108" t="s">
        <v>338</v>
      </c>
      <c r="J108" t="s">
        <v>339</v>
      </c>
      <c r="K108" t="s">
        <v>340</v>
      </c>
      <c r="L108">
        <v>1368</v>
      </c>
      <c r="N108">
        <v>1011</v>
      </c>
      <c r="O108" t="s">
        <v>327</v>
      </c>
      <c r="P108" t="s">
        <v>327</v>
      </c>
      <c r="Q108">
        <v>1</v>
      </c>
      <c r="W108">
        <v>0</v>
      </c>
      <c r="X108">
        <v>1280601743</v>
      </c>
      <c r="Y108">
        <f t="shared" si="41"/>
        <v>2.7</v>
      </c>
      <c r="AA108">
        <v>0</v>
      </c>
      <c r="AB108">
        <v>17.78</v>
      </c>
      <c r="AC108">
        <v>0</v>
      </c>
      <c r="AD108">
        <v>0</v>
      </c>
      <c r="AE108">
        <v>0</v>
      </c>
      <c r="AF108">
        <v>17.78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6</v>
      </c>
      <c r="AT108">
        <v>2.7</v>
      </c>
      <c r="AU108" t="s">
        <v>6</v>
      </c>
      <c r="AV108">
        <v>1</v>
      </c>
      <c r="AW108">
        <v>2</v>
      </c>
      <c r="AX108">
        <v>41854145</v>
      </c>
      <c r="AY108">
        <v>1</v>
      </c>
      <c r="AZ108">
        <v>0</v>
      </c>
      <c r="BA108">
        <v>108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48.006000000000007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0</v>
      </c>
      <c r="BR108">
        <v>48.006000000000007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f>ROUND(Y108*Source!I253,7)</f>
        <v>5.3999999999999999E-2</v>
      </c>
      <c r="CX108">
        <f>ROUND(Y108*Source!I253,7)</f>
        <v>5.3999999999999999E-2</v>
      </c>
      <c r="CY108">
        <f>AB108</f>
        <v>17.78</v>
      </c>
      <c r="CZ108">
        <f>AF108</f>
        <v>17.78</v>
      </c>
      <c r="DA108">
        <f>AJ108</f>
        <v>1</v>
      </c>
      <c r="DB108">
        <f t="shared" si="42"/>
        <v>48.01</v>
      </c>
      <c r="DC108">
        <f t="shared" si="43"/>
        <v>0</v>
      </c>
      <c r="DD108" t="s">
        <v>6</v>
      </c>
      <c r="DE108" t="s">
        <v>6</v>
      </c>
      <c r="DF108">
        <f t="shared" si="48"/>
        <v>0</v>
      </c>
      <c r="DG108">
        <f t="shared" si="47"/>
        <v>0.96</v>
      </c>
      <c r="DH108">
        <f t="shared" si="45"/>
        <v>0</v>
      </c>
      <c r="DI108">
        <f t="shared" si="46"/>
        <v>0</v>
      </c>
      <c r="DJ108">
        <f>DG108+DH108</f>
        <v>0.96</v>
      </c>
      <c r="DK108">
        <v>1</v>
      </c>
      <c r="DL108" t="s">
        <v>6</v>
      </c>
      <c r="DM108">
        <v>0</v>
      </c>
      <c r="DN108" t="s">
        <v>6</v>
      </c>
      <c r="DO108">
        <v>0</v>
      </c>
    </row>
    <row r="109" spans="1:119">
      <c r="A109">
        <f>ROW(Source!A253)</f>
        <v>253</v>
      </c>
      <c r="B109">
        <v>41853493</v>
      </c>
      <c r="C109">
        <v>41854140</v>
      </c>
      <c r="D109">
        <v>40995195</v>
      </c>
      <c r="E109">
        <v>1</v>
      </c>
      <c r="F109">
        <v>1</v>
      </c>
      <c r="G109">
        <v>1</v>
      </c>
      <c r="H109">
        <v>3</v>
      </c>
      <c r="I109" t="s">
        <v>341</v>
      </c>
      <c r="J109" t="s">
        <v>342</v>
      </c>
      <c r="K109" t="s">
        <v>343</v>
      </c>
      <c r="L109">
        <v>1346</v>
      </c>
      <c r="N109">
        <v>1009</v>
      </c>
      <c r="O109" t="s">
        <v>344</v>
      </c>
      <c r="P109" t="s">
        <v>344</v>
      </c>
      <c r="Q109">
        <v>1</v>
      </c>
      <c r="W109">
        <v>0</v>
      </c>
      <c r="X109">
        <v>-1545686836</v>
      </c>
      <c r="Y109">
        <f t="shared" si="41"/>
        <v>0.9</v>
      </c>
      <c r="AA109">
        <v>160.30000000000001</v>
      </c>
      <c r="AB109">
        <v>0</v>
      </c>
      <c r="AC109">
        <v>0</v>
      </c>
      <c r="AD109">
        <v>0</v>
      </c>
      <c r="AE109">
        <v>155.63</v>
      </c>
      <c r="AF109">
        <v>0</v>
      </c>
      <c r="AG109">
        <v>0</v>
      </c>
      <c r="AH109">
        <v>0</v>
      </c>
      <c r="AI109">
        <v>1.03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6</v>
      </c>
      <c r="AT109">
        <v>0.9</v>
      </c>
      <c r="AU109" t="s">
        <v>6</v>
      </c>
      <c r="AV109">
        <v>0</v>
      </c>
      <c r="AW109">
        <v>2</v>
      </c>
      <c r="AX109">
        <v>41854146</v>
      </c>
      <c r="AY109">
        <v>1</v>
      </c>
      <c r="AZ109">
        <v>0</v>
      </c>
      <c r="BA109">
        <v>109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140.06700000000001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140.06700000000001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ROUND(Y109*Source!I253,7)</f>
        <v>1.7999999999999999E-2</v>
      </c>
      <c r="CY109">
        <f>AA109</f>
        <v>160.30000000000001</v>
      </c>
      <c r="CZ109">
        <f>AE109</f>
        <v>155.63</v>
      </c>
      <c r="DA109">
        <f>AI109</f>
        <v>1.03</v>
      </c>
      <c r="DB109">
        <f t="shared" si="42"/>
        <v>140.07</v>
      </c>
      <c r="DC109">
        <f t="shared" si="43"/>
        <v>0</v>
      </c>
      <c r="DD109" t="s">
        <v>6</v>
      </c>
      <c r="DE109" t="s">
        <v>6</v>
      </c>
      <c r="DF109">
        <f>ROUND(ROUND(AE109*AI109,2)*CX109,2)</f>
        <v>2.89</v>
      </c>
      <c r="DG109">
        <f t="shared" si="47"/>
        <v>0</v>
      </c>
      <c r="DH109">
        <f t="shared" si="45"/>
        <v>0</v>
      </c>
      <c r="DI109">
        <f t="shared" si="46"/>
        <v>0</v>
      </c>
      <c r="DJ109">
        <f>DF109</f>
        <v>2.89</v>
      </c>
      <c r="DK109">
        <v>0</v>
      </c>
      <c r="DL109" t="s">
        <v>6</v>
      </c>
      <c r="DM109">
        <v>0</v>
      </c>
      <c r="DN109" t="s">
        <v>6</v>
      </c>
      <c r="DO109">
        <v>0</v>
      </c>
    </row>
    <row r="110" spans="1:119">
      <c r="A110">
        <f>ROW(Source!A253)</f>
        <v>253</v>
      </c>
      <c r="B110">
        <v>41853493</v>
      </c>
      <c r="C110">
        <v>41854140</v>
      </c>
      <c r="D110">
        <v>41024791</v>
      </c>
      <c r="E110">
        <v>1</v>
      </c>
      <c r="F110">
        <v>1</v>
      </c>
      <c r="G110">
        <v>1</v>
      </c>
      <c r="H110">
        <v>3</v>
      </c>
      <c r="I110" t="s">
        <v>427</v>
      </c>
      <c r="J110" t="s">
        <v>428</v>
      </c>
      <c r="K110" t="s">
        <v>429</v>
      </c>
      <c r="L110">
        <v>1346</v>
      </c>
      <c r="N110">
        <v>1009</v>
      </c>
      <c r="O110" t="s">
        <v>344</v>
      </c>
      <c r="P110" t="s">
        <v>344</v>
      </c>
      <c r="Q110">
        <v>1</v>
      </c>
      <c r="W110">
        <v>0</v>
      </c>
      <c r="X110">
        <v>4985900</v>
      </c>
      <c r="Y110">
        <f t="shared" si="41"/>
        <v>3.7</v>
      </c>
      <c r="AA110">
        <v>1075.6400000000001</v>
      </c>
      <c r="AB110">
        <v>0</v>
      </c>
      <c r="AC110">
        <v>0</v>
      </c>
      <c r="AD110">
        <v>0</v>
      </c>
      <c r="AE110">
        <v>911.56</v>
      </c>
      <c r="AF110">
        <v>0</v>
      </c>
      <c r="AG110">
        <v>0</v>
      </c>
      <c r="AH110">
        <v>0</v>
      </c>
      <c r="AI110">
        <v>1.18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6</v>
      </c>
      <c r="AT110">
        <v>3.7</v>
      </c>
      <c r="AU110" t="s">
        <v>6</v>
      </c>
      <c r="AV110">
        <v>0</v>
      </c>
      <c r="AW110">
        <v>2</v>
      </c>
      <c r="AX110">
        <v>41854147</v>
      </c>
      <c r="AY110">
        <v>1</v>
      </c>
      <c r="AZ110">
        <v>0</v>
      </c>
      <c r="BA110">
        <v>110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3372.7719999999999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3372.7719999999999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ROUND(Y110*Source!I253,7)</f>
        <v>7.3999999999999996E-2</v>
      </c>
      <c r="CY110">
        <f>AA110</f>
        <v>1075.6400000000001</v>
      </c>
      <c r="CZ110">
        <f>AE110</f>
        <v>911.56</v>
      </c>
      <c r="DA110">
        <f>AI110</f>
        <v>1.18</v>
      </c>
      <c r="DB110">
        <f t="shared" si="42"/>
        <v>3372.77</v>
      </c>
      <c r="DC110">
        <f t="shared" si="43"/>
        <v>0</v>
      </c>
      <c r="DD110" t="s">
        <v>6</v>
      </c>
      <c r="DE110" t="s">
        <v>6</v>
      </c>
      <c r="DF110">
        <f>ROUND(ROUND(AE110*AI110,2)*CX110,2)</f>
        <v>79.599999999999994</v>
      </c>
      <c r="DG110">
        <f t="shared" si="47"/>
        <v>0</v>
      </c>
      <c r="DH110">
        <f t="shared" si="45"/>
        <v>0</v>
      </c>
      <c r="DI110">
        <f t="shared" si="46"/>
        <v>0</v>
      </c>
      <c r="DJ110">
        <f>DF110</f>
        <v>79.599999999999994</v>
      </c>
      <c r="DK110">
        <v>0</v>
      </c>
      <c r="DL110" t="s">
        <v>6</v>
      </c>
      <c r="DM110">
        <v>0</v>
      </c>
      <c r="DN110" t="s">
        <v>6</v>
      </c>
      <c r="DO110">
        <v>0</v>
      </c>
    </row>
    <row r="111" spans="1:119">
      <c r="A111">
        <f>ROW(Source!A253)</f>
        <v>253</v>
      </c>
      <c r="B111">
        <v>41853493</v>
      </c>
      <c r="C111">
        <v>41854140</v>
      </c>
      <c r="D111">
        <v>40676108</v>
      </c>
      <c r="E111">
        <v>108</v>
      </c>
      <c r="F111">
        <v>1</v>
      </c>
      <c r="G111">
        <v>1</v>
      </c>
      <c r="H111">
        <v>3</v>
      </c>
      <c r="I111" t="s">
        <v>28</v>
      </c>
      <c r="J111" t="s">
        <v>6</v>
      </c>
      <c r="K111" t="s">
        <v>29</v>
      </c>
      <c r="L111">
        <v>3277935</v>
      </c>
      <c r="N111">
        <v>1013</v>
      </c>
      <c r="O111" t="s">
        <v>30</v>
      </c>
      <c r="P111" t="s">
        <v>30</v>
      </c>
      <c r="Q111">
        <v>1</v>
      </c>
      <c r="W111">
        <v>0</v>
      </c>
      <c r="X111">
        <v>274903907</v>
      </c>
      <c r="Y111">
        <f t="shared" si="41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 t="s">
        <v>6</v>
      </c>
      <c r="AT111">
        <v>2</v>
      </c>
      <c r="AU111" t="s">
        <v>6</v>
      </c>
      <c r="AV111">
        <v>0</v>
      </c>
      <c r="AW111">
        <v>2</v>
      </c>
      <c r="AX111">
        <v>41854148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ROUND(Y111*Source!I253,7)</f>
        <v>0.04</v>
      </c>
      <c r="CY111">
        <f>AA111</f>
        <v>0</v>
      </c>
      <c r="CZ111">
        <f>AE111</f>
        <v>0</v>
      </c>
      <c r="DA111">
        <f>AI111</f>
        <v>1</v>
      </c>
      <c r="DB111">
        <f t="shared" si="42"/>
        <v>0</v>
      </c>
      <c r="DC111">
        <f t="shared" si="43"/>
        <v>0</v>
      </c>
      <c r="DD111" t="s">
        <v>6</v>
      </c>
      <c r="DE111" t="s">
        <v>6</v>
      </c>
      <c r="DF111">
        <f t="shared" ref="DF111:DF120" si="49">ROUND(ROUND(AE111,2)*CX111,2)</f>
        <v>0</v>
      </c>
      <c r="DG111">
        <f t="shared" si="47"/>
        <v>0</v>
      </c>
      <c r="DH111">
        <f t="shared" si="45"/>
        <v>0</v>
      </c>
      <c r="DI111">
        <f t="shared" si="46"/>
        <v>0</v>
      </c>
      <c r="DJ111">
        <f>DF111</f>
        <v>0</v>
      </c>
      <c r="DK111">
        <v>0</v>
      </c>
      <c r="DL111" t="s">
        <v>6</v>
      </c>
      <c r="DM111">
        <v>0</v>
      </c>
      <c r="DN111" t="s">
        <v>6</v>
      </c>
      <c r="DO111">
        <v>0</v>
      </c>
    </row>
    <row r="112" spans="1:119">
      <c r="A112">
        <f>ROW(Source!A358)</f>
        <v>358</v>
      </c>
      <c r="B112">
        <v>41853493</v>
      </c>
      <c r="C112">
        <v>41854299</v>
      </c>
      <c r="D112">
        <v>40670169</v>
      </c>
      <c r="E112">
        <v>108</v>
      </c>
      <c r="F112">
        <v>1</v>
      </c>
      <c r="G112">
        <v>1</v>
      </c>
      <c r="H112">
        <v>1</v>
      </c>
      <c r="I112" t="s">
        <v>430</v>
      </c>
      <c r="J112" t="s">
        <v>6</v>
      </c>
      <c r="K112" t="s">
        <v>431</v>
      </c>
      <c r="L112">
        <v>1369</v>
      </c>
      <c r="N112">
        <v>1013</v>
      </c>
      <c r="O112" t="s">
        <v>368</v>
      </c>
      <c r="P112" t="s">
        <v>368</v>
      </c>
      <c r="Q112">
        <v>1</v>
      </c>
      <c r="W112">
        <v>0</v>
      </c>
      <c r="X112">
        <v>-512803540</v>
      </c>
      <c r="Y112">
        <f t="shared" si="41"/>
        <v>1.44</v>
      </c>
      <c r="AA112">
        <v>0</v>
      </c>
      <c r="AB112">
        <v>0</v>
      </c>
      <c r="AC112">
        <v>0</v>
      </c>
      <c r="AD112">
        <v>303.11</v>
      </c>
      <c r="AE112">
        <v>0</v>
      </c>
      <c r="AF112">
        <v>0</v>
      </c>
      <c r="AG112">
        <v>0</v>
      </c>
      <c r="AH112">
        <v>303.11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6</v>
      </c>
      <c r="AT112">
        <v>1.44</v>
      </c>
      <c r="AU112" t="s">
        <v>6</v>
      </c>
      <c r="AV112">
        <v>1</v>
      </c>
      <c r="AW112">
        <v>2</v>
      </c>
      <c r="AX112">
        <v>41854300</v>
      </c>
      <c r="AY112">
        <v>1</v>
      </c>
      <c r="AZ112">
        <v>0</v>
      </c>
      <c r="BA112">
        <v>112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436.47840000000002</v>
      </c>
      <c r="BN112">
        <v>1.44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436.47840000000002</v>
      </c>
      <c r="BU112">
        <v>1.44</v>
      </c>
      <c r="BV112">
        <v>0</v>
      </c>
      <c r="BW112">
        <v>1</v>
      </c>
      <c r="CU112">
        <f>ROUND(AT112*Source!I358*AH112*AL112,2)</f>
        <v>436.48</v>
      </c>
      <c r="CV112">
        <f>ROUND(Y112*Source!I358,7)</f>
        <v>1.44</v>
      </c>
      <c r="CW112">
        <v>0</v>
      </c>
      <c r="CX112">
        <f>ROUND(Y112*Source!I358,7)</f>
        <v>1.44</v>
      </c>
      <c r="CY112">
        <f t="shared" ref="CY112:CY120" si="50">AD112</f>
        <v>303.11</v>
      </c>
      <c r="CZ112">
        <f t="shared" ref="CZ112:CZ120" si="51">AH112</f>
        <v>303.11</v>
      </c>
      <c r="DA112">
        <f t="shared" ref="DA112:DA120" si="52">AL112</f>
        <v>1</v>
      </c>
      <c r="DB112">
        <f t="shared" si="42"/>
        <v>436.48</v>
      </c>
      <c r="DC112">
        <f t="shared" si="43"/>
        <v>0</v>
      </c>
      <c r="DD112" t="s">
        <v>6</v>
      </c>
      <c r="DE112" t="s">
        <v>6</v>
      </c>
      <c r="DF112">
        <f t="shared" si="49"/>
        <v>0</v>
      </c>
      <c r="DG112">
        <f t="shared" si="47"/>
        <v>0</v>
      </c>
      <c r="DH112">
        <f t="shared" si="45"/>
        <v>0</v>
      </c>
      <c r="DI112">
        <f t="shared" si="46"/>
        <v>436.48</v>
      </c>
      <c r="DJ112">
        <f t="shared" ref="DJ112:DJ120" si="53">DI112</f>
        <v>436.48</v>
      </c>
      <c r="DK112">
        <v>1</v>
      </c>
      <c r="DL112" t="s">
        <v>6</v>
      </c>
      <c r="DM112">
        <v>0</v>
      </c>
      <c r="DN112" t="s">
        <v>6</v>
      </c>
      <c r="DO112">
        <v>0</v>
      </c>
    </row>
    <row r="113" spans="1:119">
      <c r="A113">
        <f>ROW(Source!A358)</f>
        <v>358</v>
      </c>
      <c r="B113">
        <v>41853493</v>
      </c>
      <c r="C113">
        <v>41854299</v>
      </c>
      <c r="D113">
        <v>40670190</v>
      </c>
      <c r="E113">
        <v>108</v>
      </c>
      <c r="F113">
        <v>1</v>
      </c>
      <c r="G113">
        <v>1</v>
      </c>
      <c r="H113">
        <v>1</v>
      </c>
      <c r="I113" t="s">
        <v>432</v>
      </c>
      <c r="J113" t="s">
        <v>6</v>
      </c>
      <c r="K113" t="s">
        <v>433</v>
      </c>
      <c r="L113">
        <v>1369</v>
      </c>
      <c r="N113">
        <v>1013</v>
      </c>
      <c r="O113" t="s">
        <v>368</v>
      </c>
      <c r="P113" t="s">
        <v>368</v>
      </c>
      <c r="Q113">
        <v>1</v>
      </c>
      <c r="W113">
        <v>0</v>
      </c>
      <c r="X113">
        <v>-1275334932</v>
      </c>
      <c r="Y113">
        <f t="shared" si="41"/>
        <v>1.44</v>
      </c>
      <c r="AA113">
        <v>0</v>
      </c>
      <c r="AB113">
        <v>0</v>
      </c>
      <c r="AC113">
        <v>0</v>
      </c>
      <c r="AD113">
        <v>289.54000000000002</v>
      </c>
      <c r="AE113">
        <v>0</v>
      </c>
      <c r="AF113">
        <v>0</v>
      </c>
      <c r="AG113">
        <v>0</v>
      </c>
      <c r="AH113">
        <v>289.54000000000002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6</v>
      </c>
      <c r="AT113">
        <v>1.44</v>
      </c>
      <c r="AU113" t="s">
        <v>6</v>
      </c>
      <c r="AV113">
        <v>1</v>
      </c>
      <c r="AW113">
        <v>2</v>
      </c>
      <c r="AX113">
        <v>41854301</v>
      </c>
      <c r="AY113">
        <v>1</v>
      </c>
      <c r="AZ113">
        <v>0</v>
      </c>
      <c r="BA113">
        <v>113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416.93760000000003</v>
      </c>
      <c r="BN113">
        <v>1.44</v>
      </c>
      <c r="BO113">
        <v>0</v>
      </c>
      <c r="BP113">
        <v>1</v>
      </c>
      <c r="BQ113">
        <v>0</v>
      </c>
      <c r="BR113">
        <v>0</v>
      </c>
      <c r="BS113">
        <v>0</v>
      </c>
      <c r="BT113">
        <v>416.93760000000003</v>
      </c>
      <c r="BU113">
        <v>1.44</v>
      </c>
      <c r="BV113">
        <v>0</v>
      </c>
      <c r="BW113">
        <v>1</v>
      </c>
      <c r="CU113">
        <f>ROUND(AT113*Source!I358*AH113*AL113,2)</f>
        <v>416.94</v>
      </c>
      <c r="CV113">
        <f>ROUND(Y113*Source!I358,7)</f>
        <v>1.44</v>
      </c>
      <c r="CW113">
        <v>0</v>
      </c>
      <c r="CX113">
        <f>ROUND(Y113*Source!I358,7)</f>
        <v>1.44</v>
      </c>
      <c r="CY113">
        <f t="shared" si="50"/>
        <v>289.54000000000002</v>
      </c>
      <c r="CZ113">
        <f t="shared" si="51"/>
        <v>289.54000000000002</v>
      </c>
      <c r="DA113">
        <f t="shared" si="52"/>
        <v>1</v>
      </c>
      <c r="DB113">
        <f t="shared" si="42"/>
        <v>416.94</v>
      </c>
      <c r="DC113">
        <f t="shared" si="43"/>
        <v>0</v>
      </c>
      <c r="DD113" t="s">
        <v>6</v>
      </c>
      <c r="DE113" t="s">
        <v>6</v>
      </c>
      <c r="DF113">
        <f t="shared" si="49"/>
        <v>0</v>
      </c>
      <c r="DG113">
        <f t="shared" si="47"/>
        <v>0</v>
      </c>
      <c r="DH113">
        <f t="shared" si="45"/>
        <v>0</v>
      </c>
      <c r="DI113">
        <f t="shared" si="46"/>
        <v>416.94</v>
      </c>
      <c r="DJ113">
        <f t="shared" si="53"/>
        <v>416.94</v>
      </c>
      <c r="DK113">
        <v>1</v>
      </c>
      <c r="DL113" t="s">
        <v>6</v>
      </c>
      <c r="DM113">
        <v>0</v>
      </c>
      <c r="DN113" t="s">
        <v>6</v>
      </c>
      <c r="DO113">
        <v>0</v>
      </c>
    </row>
    <row r="114" spans="1:119">
      <c r="A114">
        <f>ROW(Source!A358)</f>
        <v>358</v>
      </c>
      <c r="B114">
        <v>41853493</v>
      </c>
      <c r="C114">
        <v>41854299</v>
      </c>
      <c r="D114">
        <v>40670200</v>
      </c>
      <c r="E114">
        <v>108</v>
      </c>
      <c r="F114">
        <v>1</v>
      </c>
      <c r="G114">
        <v>1</v>
      </c>
      <c r="H114">
        <v>1</v>
      </c>
      <c r="I114" t="s">
        <v>369</v>
      </c>
      <c r="J114" t="s">
        <v>6</v>
      </c>
      <c r="K114" t="s">
        <v>370</v>
      </c>
      <c r="L114">
        <v>1369</v>
      </c>
      <c r="N114">
        <v>1013</v>
      </c>
      <c r="O114" t="s">
        <v>368</v>
      </c>
      <c r="P114" t="s">
        <v>368</v>
      </c>
      <c r="Q114">
        <v>1</v>
      </c>
      <c r="W114">
        <v>0</v>
      </c>
      <c r="X114">
        <v>-2140504649</v>
      </c>
      <c r="Y114">
        <f t="shared" ref="Y114:Y120" si="54">AT114</f>
        <v>4.32</v>
      </c>
      <c r="AA114">
        <v>0</v>
      </c>
      <c r="AB114">
        <v>0</v>
      </c>
      <c r="AC114">
        <v>0</v>
      </c>
      <c r="AD114">
        <v>443.35</v>
      </c>
      <c r="AE114">
        <v>0</v>
      </c>
      <c r="AF114">
        <v>0</v>
      </c>
      <c r="AG114">
        <v>0</v>
      </c>
      <c r="AH114">
        <v>443.35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6</v>
      </c>
      <c r="AT114">
        <v>4.32</v>
      </c>
      <c r="AU114" t="s">
        <v>6</v>
      </c>
      <c r="AV114">
        <v>1</v>
      </c>
      <c r="AW114">
        <v>2</v>
      </c>
      <c r="AX114">
        <v>41854302</v>
      </c>
      <c r="AY114">
        <v>1</v>
      </c>
      <c r="AZ114">
        <v>0</v>
      </c>
      <c r="BA114">
        <v>114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1915.2720000000002</v>
      </c>
      <c r="BN114">
        <v>4.32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1915.2720000000002</v>
      </c>
      <c r="BU114">
        <v>4.32</v>
      </c>
      <c r="BV114">
        <v>0</v>
      </c>
      <c r="BW114">
        <v>1</v>
      </c>
      <c r="CU114">
        <f>ROUND(AT114*Source!I358*AH114*AL114,2)</f>
        <v>1915.27</v>
      </c>
      <c r="CV114">
        <f>ROUND(Y114*Source!I358,7)</f>
        <v>4.32</v>
      </c>
      <c r="CW114">
        <v>0</v>
      </c>
      <c r="CX114">
        <f>ROUND(Y114*Source!I358,7)</f>
        <v>4.32</v>
      </c>
      <c r="CY114">
        <f t="shared" si="50"/>
        <v>443.35</v>
      </c>
      <c r="CZ114">
        <f t="shared" si="51"/>
        <v>443.35</v>
      </c>
      <c r="DA114">
        <f t="shared" si="52"/>
        <v>1</v>
      </c>
      <c r="DB114">
        <f t="shared" ref="DB114:DB120" si="55">ROUND(ROUND(AT114*CZ114,2),2)</f>
        <v>1915.27</v>
      </c>
      <c r="DC114">
        <f t="shared" ref="DC114:DC120" si="56">ROUND(ROUND(AT114*AG114,2),2)</f>
        <v>0</v>
      </c>
      <c r="DD114" t="s">
        <v>6</v>
      </c>
      <c r="DE114" t="s">
        <v>6</v>
      </c>
      <c r="DF114">
        <f t="shared" si="49"/>
        <v>0</v>
      </c>
      <c r="DG114">
        <f t="shared" si="47"/>
        <v>0</v>
      </c>
      <c r="DH114">
        <f t="shared" si="45"/>
        <v>0</v>
      </c>
      <c r="DI114">
        <f t="shared" si="46"/>
        <v>1915.27</v>
      </c>
      <c r="DJ114">
        <f t="shared" si="53"/>
        <v>1915.27</v>
      </c>
      <c r="DK114">
        <v>1</v>
      </c>
      <c r="DL114" t="s">
        <v>6</v>
      </c>
      <c r="DM114">
        <v>0</v>
      </c>
      <c r="DN114" t="s">
        <v>6</v>
      </c>
      <c r="DO114">
        <v>0</v>
      </c>
    </row>
    <row r="115" spans="1:119">
      <c r="A115">
        <f>ROW(Source!A359)</f>
        <v>359</v>
      </c>
      <c r="B115">
        <v>41853493</v>
      </c>
      <c r="C115">
        <v>41854303</v>
      </c>
      <c r="D115">
        <v>40670175</v>
      </c>
      <c r="E115">
        <v>108</v>
      </c>
      <c r="F115">
        <v>1</v>
      </c>
      <c r="G115">
        <v>1</v>
      </c>
      <c r="H115">
        <v>1</v>
      </c>
      <c r="I115" t="s">
        <v>434</v>
      </c>
      <c r="J115" t="s">
        <v>6</v>
      </c>
      <c r="K115" t="s">
        <v>435</v>
      </c>
      <c r="L115">
        <v>1369</v>
      </c>
      <c r="N115">
        <v>1013</v>
      </c>
      <c r="O115" t="s">
        <v>368</v>
      </c>
      <c r="P115" t="s">
        <v>368</v>
      </c>
      <c r="Q115">
        <v>1</v>
      </c>
      <c r="W115">
        <v>0</v>
      </c>
      <c r="X115">
        <v>286205319</v>
      </c>
      <c r="Y115">
        <f t="shared" si="54"/>
        <v>0.5</v>
      </c>
      <c r="AA115">
        <v>0</v>
      </c>
      <c r="AB115">
        <v>0</v>
      </c>
      <c r="AC115">
        <v>0</v>
      </c>
      <c r="AD115">
        <v>407.16</v>
      </c>
      <c r="AE115">
        <v>0</v>
      </c>
      <c r="AF115">
        <v>0</v>
      </c>
      <c r="AG115">
        <v>0</v>
      </c>
      <c r="AH115">
        <v>407.16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6</v>
      </c>
      <c r="AT115">
        <v>0.5</v>
      </c>
      <c r="AU115" t="s">
        <v>6</v>
      </c>
      <c r="AV115">
        <v>1</v>
      </c>
      <c r="AW115">
        <v>2</v>
      </c>
      <c r="AX115">
        <v>41854304</v>
      </c>
      <c r="AY115">
        <v>1</v>
      </c>
      <c r="AZ115">
        <v>0</v>
      </c>
      <c r="BA115">
        <v>115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203.58</v>
      </c>
      <c r="BN115">
        <v>0.5</v>
      </c>
      <c r="BO115">
        <v>0</v>
      </c>
      <c r="BP115">
        <v>1</v>
      </c>
      <c r="BQ115">
        <v>0</v>
      </c>
      <c r="BR115">
        <v>0</v>
      </c>
      <c r="BS115">
        <v>0</v>
      </c>
      <c r="BT115">
        <v>203.58</v>
      </c>
      <c r="BU115">
        <v>0.5</v>
      </c>
      <c r="BV115">
        <v>0</v>
      </c>
      <c r="BW115">
        <v>1</v>
      </c>
      <c r="CU115">
        <f>ROUND(AT115*Source!I359*AH115*AL115,2)</f>
        <v>814.32</v>
      </c>
      <c r="CV115">
        <f>ROUND(Y115*Source!I359,7)</f>
        <v>2</v>
      </c>
      <c r="CW115">
        <v>0</v>
      </c>
      <c r="CX115">
        <f>ROUND(Y115*Source!I359,7)</f>
        <v>2</v>
      </c>
      <c r="CY115">
        <f t="shared" si="50"/>
        <v>407.16</v>
      </c>
      <c r="CZ115">
        <f t="shared" si="51"/>
        <v>407.16</v>
      </c>
      <c r="DA115">
        <f t="shared" si="52"/>
        <v>1</v>
      </c>
      <c r="DB115">
        <f t="shared" si="55"/>
        <v>203.58</v>
      </c>
      <c r="DC115">
        <f t="shared" si="56"/>
        <v>0</v>
      </c>
      <c r="DD115" t="s">
        <v>6</v>
      </c>
      <c r="DE115" t="s">
        <v>6</v>
      </c>
      <c r="DF115">
        <f t="shared" si="49"/>
        <v>0</v>
      </c>
      <c r="DG115">
        <f t="shared" si="47"/>
        <v>0</v>
      </c>
      <c r="DH115">
        <f t="shared" si="45"/>
        <v>0</v>
      </c>
      <c r="DI115">
        <f t="shared" si="46"/>
        <v>814.32</v>
      </c>
      <c r="DJ115">
        <f t="shared" si="53"/>
        <v>814.32</v>
      </c>
      <c r="DK115">
        <v>1</v>
      </c>
      <c r="DL115" t="s">
        <v>6</v>
      </c>
      <c r="DM115">
        <v>0</v>
      </c>
      <c r="DN115" t="s">
        <v>6</v>
      </c>
      <c r="DO115">
        <v>0</v>
      </c>
    </row>
    <row r="116" spans="1:119">
      <c r="A116">
        <f>ROW(Source!A359)</f>
        <v>359</v>
      </c>
      <c r="B116">
        <v>41853493</v>
      </c>
      <c r="C116">
        <v>41854303</v>
      </c>
      <c r="D116">
        <v>40670204</v>
      </c>
      <c r="E116">
        <v>108</v>
      </c>
      <c r="F116">
        <v>1</v>
      </c>
      <c r="G116">
        <v>1</v>
      </c>
      <c r="H116">
        <v>1</v>
      </c>
      <c r="I116" t="s">
        <v>436</v>
      </c>
      <c r="J116" t="s">
        <v>6</v>
      </c>
      <c r="K116" t="s">
        <v>437</v>
      </c>
      <c r="L116">
        <v>1369</v>
      </c>
      <c r="N116">
        <v>1013</v>
      </c>
      <c r="O116" t="s">
        <v>368</v>
      </c>
      <c r="P116" t="s">
        <v>368</v>
      </c>
      <c r="Q116">
        <v>1</v>
      </c>
      <c r="W116">
        <v>0</v>
      </c>
      <c r="X116">
        <v>126826561</v>
      </c>
      <c r="Y116">
        <f t="shared" si="54"/>
        <v>0.5</v>
      </c>
      <c r="AA116">
        <v>0</v>
      </c>
      <c r="AB116">
        <v>0</v>
      </c>
      <c r="AC116">
        <v>0</v>
      </c>
      <c r="AD116">
        <v>398.11</v>
      </c>
      <c r="AE116">
        <v>0</v>
      </c>
      <c r="AF116">
        <v>0</v>
      </c>
      <c r="AG116">
        <v>0</v>
      </c>
      <c r="AH116">
        <v>398.11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6</v>
      </c>
      <c r="AT116">
        <v>0.5</v>
      </c>
      <c r="AU116" t="s">
        <v>6</v>
      </c>
      <c r="AV116">
        <v>1</v>
      </c>
      <c r="AW116">
        <v>2</v>
      </c>
      <c r="AX116">
        <v>41854305</v>
      </c>
      <c r="AY116">
        <v>1</v>
      </c>
      <c r="AZ116">
        <v>0</v>
      </c>
      <c r="BA116">
        <v>116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199.05500000000001</v>
      </c>
      <c r="BN116">
        <v>0.5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199.05500000000001</v>
      </c>
      <c r="BU116">
        <v>0.5</v>
      </c>
      <c r="BV116">
        <v>0</v>
      </c>
      <c r="BW116">
        <v>1</v>
      </c>
      <c r="CU116">
        <f>ROUND(AT116*Source!I359*AH116*AL116,2)</f>
        <v>796.22</v>
      </c>
      <c r="CV116">
        <f>ROUND(Y116*Source!I359,7)</f>
        <v>2</v>
      </c>
      <c r="CW116">
        <v>0</v>
      </c>
      <c r="CX116">
        <f>ROUND(Y116*Source!I359,7)</f>
        <v>2</v>
      </c>
      <c r="CY116">
        <f t="shared" si="50"/>
        <v>398.11</v>
      </c>
      <c r="CZ116">
        <f t="shared" si="51"/>
        <v>398.11</v>
      </c>
      <c r="DA116">
        <f t="shared" si="52"/>
        <v>1</v>
      </c>
      <c r="DB116">
        <f t="shared" si="55"/>
        <v>199.06</v>
      </c>
      <c r="DC116">
        <f t="shared" si="56"/>
        <v>0</v>
      </c>
      <c r="DD116" t="s">
        <v>6</v>
      </c>
      <c r="DE116" t="s">
        <v>6</v>
      </c>
      <c r="DF116">
        <f t="shared" si="49"/>
        <v>0</v>
      </c>
      <c r="DG116">
        <f t="shared" si="47"/>
        <v>0</v>
      </c>
      <c r="DH116">
        <f t="shared" si="45"/>
        <v>0</v>
      </c>
      <c r="DI116">
        <f t="shared" si="46"/>
        <v>796.22</v>
      </c>
      <c r="DJ116">
        <f t="shared" si="53"/>
        <v>796.22</v>
      </c>
      <c r="DK116">
        <v>1</v>
      </c>
      <c r="DL116" t="s">
        <v>6</v>
      </c>
      <c r="DM116">
        <v>0</v>
      </c>
      <c r="DN116" t="s">
        <v>6</v>
      </c>
      <c r="DO116">
        <v>0</v>
      </c>
    </row>
    <row r="117" spans="1:119">
      <c r="A117">
        <f>ROW(Source!A360)</f>
        <v>360</v>
      </c>
      <c r="B117">
        <v>41853493</v>
      </c>
      <c r="C117">
        <v>41854306</v>
      </c>
      <c r="D117">
        <v>40670175</v>
      </c>
      <c r="E117">
        <v>108</v>
      </c>
      <c r="F117">
        <v>1</v>
      </c>
      <c r="G117">
        <v>1</v>
      </c>
      <c r="H117">
        <v>1</v>
      </c>
      <c r="I117" t="s">
        <v>434</v>
      </c>
      <c r="J117" t="s">
        <v>6</v>
      </c>
      <c r="K117" t="s">
        <v>435</v>
      </c>
      <c r="L117">
        <v>1369</v>
      </c>
      <c r="N117">
        <v>1013</v>
      </c>
      <c r="O117" t="s">
        <v>368</v>
      </c>
      <c r="P117" t="s">
        <v>368</v>
      </c>
      <c r="Q117">
        <v>1</v>
      </c>
      <c r="W117">
        <v>0</v>
      </c>
      <c r="X117">
        <v>286205319</v>
      </c>
      <c r="Y117">
        <f t="shared" si="54"/>
        <v>0.41</v>
      </c>
      <c r="AA117">
        <v>0</v>
      </c>
      <c r="AB117">
        <v>0</v>
      </c>
      <c r="AC117">
        <v>0</v>
      </c>
      <c r="AD117">
        <v>407.16</v>
      </c>
      <c r="AE117">
        <v>0</v>
      </c>
      <c r="AF117">
        <v>0</v>
      </c>
      <c r="AG117">
        <v>0</v>
      </c>
      <c r="AH117">
        <v>407.16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6</v>
      </c>
      <c r="AT117">
        <v>0.41</v>
      </c>
      <c r="AU117" t="s">
        <v>6</v>
      </c>
      <c r="AV117">
        <v>1</v>
      </c>
      <c r="AW117">
        <v>2</v>
      </c>
      <c r="AX117">
        <v>41854307</v>
      </c>
      <c r="AY117">
        <v>1</v>
      </c>
      <c r="AZ117">
        <v>0</v>
      </c>
      <c r="BA117">
        <v>117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166.93559999999999</v>
      </c>
      <c r="BN117">
        <v>0.41</v>
      </c>
      <c r="BO117">
        <v>0</v>
      </c>
      <c r="BP117">
        <v>1</v>
      </c>
      <c r="BQ117">
        <v>0</v>
      </c>
      <c r="BR117">
        <v>0</v>
      </c>
      <c r="BS117">
        <v>0</v>
      </c>
      <c r="BT117">
        <v>166.93559999999999</v>
      </c>
      <c r="BU117">
        <v>0.41</v>
      </c>
      <c r="BV117">
        <v>0</v>
      </c>
      <c r="BW117">
        <v>1</v>
      </c>
      <c r="CU117">
        <f>ROUND(AT117*Source!I360*AH117*AL117,2)</f>
        <v>667.74</v>
      </c>
      <c r="CV117">
        <f>ROUND(Y117*Source!I360,7)</f>
        <v>1.64</v>
      </c>
      <c r="CW117">
        <v>0</v>
      </c>
      <c r="CX117">
        <f>ROUND(Y117*Source!I360,7)</f>
        <v>1.64</v>
      </c>
      <c r="CY117">
        <f t="shared" si="50"/>
        <v>407.16</v>
      </c>
      <c r="CZ117">
        <f t="shared" si="51"/>
        <v>407.16</v>
      </c>
      <c r="DA117">
        <f t="shared" si="52"/>
        <v>1</v>
      </c>
      <c r="DB117">
        <f t="shared" si="55"/>
        <v>166.94</v>
      </c>
      <c r="DC117">
        <f t="shared" si="56"/>
        <v>0</v>
      </c>
      <c r="DD117" t="s">
        <v>6</v>
      </c>
      <c r="DE117" t="s">
        <v>6</v>
      </c>
      <c r="DF117">
        <f t="shared" si="49"/>
        <v>0</v>
      </c>
      <c r="DG117">
        <f t="shared" si="47"/>
        <v>0</v>
      </c>
      <c r="DH117">
        <f t="shared" si="45"/>
        <v>0</v>
      </c>
      <c r="DI117">
        <f t="shared" si="46"/>
        <v>667.74</v>
      </c>
      <c r="DJ117">
        <f t="shared" si="53"/>
        <v>667.74</v>
      </c>
      <c r="DK117">
        <v>1</v>
      </c>
      <c r="DL117" t="s">
        <v>6</v>
      </c>
      <c r="DM117">
        <v>0</v>
      </c>
      <c r="DN117" t="s">
        <v>6</v>
      </c>
      <c r="DO117">
        <v>0</v>
      </c>
    </row>
    <row r="118" spans="1:119">
      <c r="A118">
        <f>ROW(Source!A360)</f>
        <v>360</v>
      </c>
      <c r="B118">
        <v>41853493</v>
      </c>
      <c r="C118">
        <v>41854306</v>
      </c>
      <c r="D118">
        <v>40670204</v>
      </c>
      <c r="E118">
        <v>108</v>
      </c>
      <c r="F118">
        <v>1</v>
      </c>
      <c r="G118">
        <v>1</v>
      </c>
      <c r="H118">
        <v>1</v>
      </c>
      <c r="I118" t="s">
        <v>436</v>
      </c>
      <c r="J118" t="s">
        <v>6</v>
      </c>
      <c r="K118" t="s">
        <v>437</v>
      </c>
      <c r="L118">
        <v>1369</v>
      </c>
      <c r="N118">
        <v>1013</v>
      </c>
      <c r="O118" t="s">
        <v>368</v>
      </c>
      <c r="P118" t="s">
        <v>368</v>
      </c>
      <c r="Q118">
        <v>1</v>
      </c>
      <c r="W118">
        <v>0</v>
      </c>
      <c r="X118">
        <v>126826561</v>
      </c>
      <c r="Y118">
        <f t="shared" si="54"/>
        <v>0.41</v>
      </c>
      <c r="AA118">
        <v>0</v>
      </c>
      <c r="AB118">
        <v>0</v>
      </c>
      <c r="AC118">
        <v>0</v>
      </c>
      <c r="AD118">
        <v>398.11</v>
      </c>
      <c r="AE118">
        <v>0</v>
      </c>
      <c r="AF118">
        <v>0</v>
      </c>
      <c r="AG118">
        <v>0</v>
      </c>
      <c r="AH118">
        <v>398.11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6</v>
      </c>
      <c r="AT118">
        <v>0.41</v>
      </c>
      <c r="AU118" t="s">
        <v>6</v>
      </c>
      <c r="AV118">
        <v>1</v>
      </c>
      <c r="AW118">
        <v>2</v>
      </c>
      <c r="AX118">
        <v>41854308</v>
      </c>
      <c r="AY118">
        <v>1</v>
      </c>
      <c r="AZ118">
        <v>0</v>
      </c>
      <c r="BA118">
        <v>118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163.2251</v>
      </c>
      <c r="BN118">
        <v>0.41</v>
      </c>
      <c r="BO118">
        <v>0</v>
      </c>
      <c r="BP118">
        <v>1</v>
      </c>
      <c r="BQ118">
        <v>0</v>
      </c>
      <c r="BR118">
        <v>0</v>
      </c>
      <c r="BS118">
        <v>0</v>
      </c>
      <c r="BT118">
        <v>163.2251</v>
      </c>
      <c r="BU118">
        <v>0.41</v>
      </c>
      <c r="BV118">
        <v>0</v>
      </c>
      <c r="BW118">
        <v>1</v>
      </c>
      <c r="CU118">
        <f>ROUND(AT118*Source!I360*AH118*AL118,2)</f>
        <v>652.9</v>
      </c>
      <c r="CV118">
        <f>ROUND(Y118*Source!I360,7)</f>
        <v>1.64</v>
      </c>
      <c r="CW118">
        <v>0</v>
      </c>
      <c r="CX118">
        <f>ROUND(Y118*Source!I360,7)</f>
        <v>1.64</v>
      </c>
      <c r="CY118">
        <f t="shared" si="50"/>
        <v>398.11</v>
      </c>
      <c r="CZ118">
        <f t="shared" si="51"/>
        <v>398.11</v>
      </c>
      <c r="DA118">
        <f t="shared" si="52"/>
        <v>1</v>
      </c>
      <c r="DB118">
        <f t="shared" si="55"/>
        <v>163.22999999999999</v>
      </c>
      <c r="DC118">
        <f t="shared" si="56"/>
        <v>0</v>
      </c>
      <c r="DD118" t="s">
        <v>6</v>
      </c>
      <c r="DE118" t="s">
        <v>6</v>
      </c>
      <c r="DF118">
        <f t="shared" si="49"/>
        <v>0</v>
      </c>
      <c r="DG118">
        <f t="shared" si="47"/>
        <v>0</v>
      </c>
      <c r="DH118">
        <f t="shared" si="45"/>
        <v>0</v>
      </c>
      <c r="DI118">
        <f t="shared" si="46"/>
        <v>652.9</v>
      </c>
      <c r="DJ118">
        <f t="shared" si="53"/>
        <v>652.9</v>
      </c>
      <c r="DK118">
        <v>1</v>
      </c>
      <c r="DL118" t="s">
        <v>6</v>
      </c>
      <c r="DM118">
        <v>0</v>
      </c>
      <c r="DN118" t="s">
        <v>6</v>
      </c>
      <c r="DO118">
        <v>0</v>
      </c>
    </row>
    <row r="119" spans="1:119">
      <c r="A119">
        <f>ROW(Source!A361)</f>
        <v>361</v>
      </c>
      <c r="B119">
        <v>41853493</v>
      </c>
      <c r="C119">
        <v>41854309</v>
      </c>
      <c r="D119">
        <v>40670175</v>
      </c>
      <c r="E119">
        <v>108</v>
      </c>
      <c r="F119">
        <v>1</v>
      </c>
      <c r="G119">
        <v>1</v>
      </c>
      <c r="H119">
        <v>1</v>
      </c>
      <c r="I119" t="s">
        <v>434</v>
      </c>
      <c r="J119" t="s">
        <v>6</v>
      </c>
      <c r="K119" t="s">
        <v>435</v>
      </c>
      <c r="L119">
        <v>1369</v>
      </c>
      <c r="N119">
        <v>1013</v>
      </c>
      <c r="O119" t="s">
        <v>368</v>
      </c>
      <c r="P119" t="s">
        <v>368</v>
      </c>
      <c r="Q119">
        <v>1</v>
      </c>
      <c r="W119">
        <v>0</v>
      </c>
      <c r="X119">
        <v>286205319</v>
      </c>
      <c r="Y119">
        <f t="shared" si="54"/>
        <v>0.81</v>
      </c>
      <c r="AA119">
        <v>0</v>
      </c>
      <c r="AB119">
        <v>0</v>
      </c>
      <c r="AC119">
        <v>0</v>
      </c>
      <c r="AD119">
        <v>407.16</v>
      </c>
      <c r="AE119">
        <v>0</v>
      </c>
      <c r="AF119">
        <v>0</v>
      </c>
      <c r="AG119">
        <v>0</v>
      </c>
      <c r="AH119">
        <v>407.16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1</v>
      </c>
      <c r="AQ119">
        <v>1</v>
      </c>
      <c r="AR119">
        <v>0</v>
      </c>
      <c r="AS119" t="s">
        <v>6</v>
      </c>
      <c r="AT119">
        <v>0.81</v>
      </c>
      <c r="AU119" t="s">
        <v>6</v>
      </c>
      <c r="AV119">
        <v>1</v>
      </c>
      <c r="AW119">
        <v>2</v>
      </c>
      <c r="AX119">
        <v>41854310</v>
      </c>
      <c r="AY119">
        <v>1</v>
      </c>
      <c r="AZ119">
        <v>0</v>
      </c>
      <c r="BA119">
        <v>119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329.79960000000005</v>
      </c>
      <c r="BN119">
        <v>0.81</v>
      </c>
      <c r="BO119">
        <v>0</v>
      </c>
      <c r="BP119">
        <v>1</v>
      </c>
      <c r="BQ119">
        <v>0</v>
      </c>
      <c r="BR119">
        <v>0</v>
      </c>
      <c r="BS119">
        <v>0</v>
      </c>
      <c r="BT119">
        <v>329.79960000000005</v>
      </c>
      <c r="BU119">
        <v>0.81</v>
      </c>
      <c r="BV119">
        <v>0</v>
      </c>
      <c r="BW119">
        <v>1</v>
      </c>
      <c r="CU119">
        <f>ROUND(AT119*Source!I361*AH119*AL119,2)</f>
        <v>1319.2</v>
      </c>
      <c r="CV119">
        <f>ROUND(Y119*Source!I361,7)</f>
        <v>3.24</v>
      </c>
      <c r="CW119">
        <v>0</v>
      </c>
      <c r="CX119">
        <f>ROUND(Y119*Source!I361,7)</f>
        <v>3.24</v>
      </c>
      <c r="CY119">
        <f t="shared" si="50"/>
        <v>407.16</v>
      </c>
      <c r="CZ119">
        <f t="shared" si="51"/>
        <v>407.16</v>
      </c>
      <c r="DA119">
        <f t="shared" si="52"/>
        <v>1</v>
      </c>
      <c r="DB119">
        <f t="shared" si="55"/>
        <v>329.8</v>
      </c>
      <c r="DC119">
        <f t="shared" si="56"/>
        <v>0</v>
      </c>
      <c r="DD119" t="s">
        <v>6</v>
      </c>
      <c r="DE119" t="s">
        <v>6</v>
      </c>
      <c r="DF119">
        <f t="shared" si="49"/>
        <v>0</v>
      </c>
      <c r="DG119">
        <f t="shared" si="47"/>
        <v>0</v>
      </c>
      <c r="DH119">
        <f t="shared" si="45"/>
        <v>0</v>
      </c>
      <c r="DI119">
        <f t="shared" si="46"/>
        <v>1319.2</v>
      </c>
      <c r="DJ119">
        <f t="shared" si="53"/>
        <v>1319.2</v>
      </c>
      <c r="DK119">
        <v>1</v>
      </c>
      <c r="DL119" t="s">
        <v>6</v>
      </c>
      <c r="DM119">
        <v>0</v>
      </c>
      <c r="DN119" t="s">
        <v>6</v>
      </c>
      <c r="DO119">
        <v>0</v>
      </c>
    </row>
    <row r="120" spans="1:119">
      <c r="A120">
        <f>ROW(Source!A361)</f>
        <v>361</v>
      </c>
      <c r="B120">
        <v>41853493</v>
      </c>
      <c r="C120">
        <v>41854309</v>
      </c>
      <c r="D120">
        <v>40670204</v>
      </c>
      <c r="E120">
        <v>108</v>
      </c>
      <c r="F120">
        <v>1</v>
      </c>
      <c r="G120">
        <v>1</v>
      </c>
      <c r="H120">
        <v>1</v>
      </c>
      <c r="I120" t="s">
        <v>436</v>
      </c>
      <c r="J120" t="s">
        <v>6</v>
      </c>
      <c r="K120" t="s">
        <v>437</v>
      </c>
      <c r="L120">
        <v>1369</v>
      </c>
      <c r="N120">
        <v>1013</v>
      </c>
      <c r="O120" t="s">
        <v>368</v>
      </c>
      <c r="P120" t="s">
        <v>368</v>
      </c>
      <c r="Q120">
        <v>1</v>
      </c>
      <c r="W120">
        <v>0</v>
      </c>
      <c r="X120">
        <v>126826561</v>
      </c>
      <c r="Y120">
        <f t="shared" si="54"/>
        <v>0.81</v>
      </c>
      <c r="AA120">
        <v>0</v>
      </c>
      <c r="AB120">
        <v>0</v>
      </c>
      <c r="AC120">
        <v>0</v>
      </c>
      <c r="AD120">
        <v>398.11</v>
      </c>
      <c r="AE120">
        <v>0</v>
      </c>
      <c r="AF120">
        <v>0</v>
      </c>
      <c r="AG120">
        <v>0</v>
      </c>
      <c r="AH120">
        <v>398.11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6</v>
      </c>
      <c r="AT120">
        <v>0.81</v>
      </c>
      <c r="AU120" t="s">
        <v>6</v>
      </c>
      <c r="AV120">
        <v>1</v>
      </c>
      <c r="AW120">
        <v>2</v>
      </c>
      <c r="AX120">
        <v>41854311</v>
      </c>
      <c r="AY120">
        <v>1</v>
      </c>
      <c r="AZ120">
        <v>0</v>
      </c>
      <c r="BA120">
        <v>120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322.46910000000003</v>
      </c>
      <c r="BN120">
        <v>0.81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322.46910000000003</v>
      </c>
      <c r="BU120">
        <v>0.81</v>
      </c>
      <c r="BV120">
        <v>0</v>
      </c>
      <c r="BW120">
        <v>1</v>
      </c>
      <c r="CU120">
        <f>ROUND(AT120*Source!I361*AH120*AL120,2)</f>
        <v>1289.8800000000001</v>
      </c>
      <c r="CV120">
        <f>ROUND(Y120*Source!I361,7)</f>
        <v>3.24</v>
      </c>
      <c r="CW120">
        <v>0</v>
      </c>
      <c r="CX120">
        <f>ROUND(Y120*Source!I361,7)</f>
        <v>3.24</v>
      </c>
      <c r="CY120">
        <f t="shared" si="50"/>
        <v>398.11</v>
      </c>
      <c r="CZ120">
        <f t="shared" si="51"/>
        <v>398.11</v>
      </c>
      <c r="DA120">
        <f t="shared" si="52"/>
        <v>1</v>
      </c>
      <c r="DB120">
        <f t="shared" si="55"/>
        <v>322.47000000000003</v>
      </c>
      <c r="DC120">
        <f t="shared" si="56"/>
        <v>0</v>
      </c>
      <c r="DD120" t="s">
        <v>6</v>
      </c>
      <c r="DE120" t="s">
        <v>6</v>
      </c>
      <c r="DF120">
        <f t="shared" si="49"/>
        <v>0</v>
      </c>
      <c r="DG120">
        <f t="shared" si="47"/>
        <v>0</v>
      </c>
      <c r="DH120">
        <f t="shared" si="45"/>
        <v>0</v>
      </c>
      <c r="DI120">
        <f t="shared" si="46"/>
        <v>1289.8800000000001</v>
      </c>
      <c r="DJ120">
        <f t="shared" si="53"/>
        <v>1289.8800000000001</v>
      </c>
      <c r="DK120">
        <v>1</v>
      </c>
      <c r="DL120" t="s">
        <v>6</v>
      </c>
      <c r="DM120">
        <v>0</v>
      </c>
      <c r="DN120" t="s">
        <v>6</v>
      </c>
      <c r="DO120">
        <v>0</v>
      </c>
    </row>
    <row r="489" spans="9:9">
      <c r="I48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R120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ROW(Source!A28)</f>
        <v>28</v>
      </c>
      <c r="B1">
        <v>41853716</v>
      </c>
      <c r="C1">
        <v>41853715</v>
      </c>
      <c r="D1">
        <v>40669982</v>
      </c>
      <c r="E1">
        <v>108</v>
      </c>
      <c r="F1">
        <v>1</v>
      </c>
      <c r="G1">
        <v>1</v>
      </c>
      <c r="H1">
        <v>1</v>
      </c>
      <c r="I1" t="s">
        <v>319</v>
      </c>
      <c r="J1" t="s">
        <v>6</v>
      </c>
      <c r="K1" t="s">
        <v>320</v>
      </c>
      <c r="L1">
        <v>1191</v>
      </c>
      <c r="N1">
        <v>1013</v>
      </c>
      <c r="O1" t="s">
        <v>321</v>
      </c>
      <c r="P1" t="s">
        <v>321</v>
      </c>
      <c r="Q1">
        <v>1</v>
      </c>
      <c r="X1">
        <v>0.28000000000000003</v>
      </c>
      <c r="Y1">
        <v>0</v>
      </c>
      <c r="Z1">
        <v>0</v>
      </c>
      <c r="AA1">
        <v>0</v>
      </c>
      <c r="AB1">
        <v>312.16000000000003</v>
      </c>
      <c r="AC1">
        <v>0</v>
      </c>
      <c r="AD1">
        <v>1</v>
      </c>
      <c r="AE1">
        <v>1</v>
      </c>
      <c r="AF1" t="s">
        <v>6</v>
      </c>
      <c r="AG1">
        <v>0.28000000000000003</v>
      </c>
      <c r="AH1">
        <v>2</v>
      </c>
      <c r="AI1">
        <v>41853716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41853717</v>
      </c>
      <c r="C2">
        <v>41853715</v>
      </c>
      <c r="D2">
        <v>40670210</v>
      </c>
      <c r="E2">
        <v>108</v>
      </c>
      <c r="F2">
        <v>1</v>
      </c>
      <c r="G2">
        <v>1</v>
      </c>
      <c r="H2">
        <v>1</v>
      </c>
      <c r="I2" t="s">
        <v>322</v>
      </c>
      <c r="J2" t="s">
        <v>6</v>
      </c>
      <c r="K2" t="s">
        <v>323</v>
      </c>
      <c r="L2">
        <v>1191</v>
      </c>
      <c r="N2">
        <v>1013</v>
      </c>
      <c r="O2" t="s">
        <v>321</v>
      </c>
      <c r="P2" t="s">
        <v>321</v>
      </c>
      <c r="Q2">
        <v>1</v>
      </c>
      <c r="X2">
        <v>0.02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6</v>
      </c>
      <c r="AG2">
        <v>0.02</v>
      </c>
      <c r="AH2">
        <v>2</v>
      </c>
      <c r="AI2">
        <v>41853717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41853718</v>
      </c>
      <c r="C3">
        <v>41853715</v>
      </c>
      <c r="D3">
        <v>40987978</v>
      </c>
      <c r="E3">
        <v>1</v>
      </c>
      <c r="F3">
        <v>1</v>
      </c>
      <c r="G3">
        <v>1</v>
      </c>
      <c r="H3">
        <v>2</v>
      </c>
      <c r="I3" t="s">
        <v>324</v>
      </c>
      <c r="J3" t="s">
        <v>325</v>
      </c>
      <c r="K3" t="s">
        <v>326</v>
      </c>
      <c r="L3">
        <v>1368</v>
      </c>
      <c r="N3">
        <v>1011</v>
      </c>
      <c r="O3" t="s">
        <v>327</v>
      </c>
      <c r="P3" t="s">
        <v>327</v>
      </c>
      <c r="Q3">
        <v>1</v>
      </c>
      <c r="X3">
        <v>0.01</v>
      </c>
      <c r="Y3">
        <v>0</v>
      </c>
      <c r="Z3">
        <v>1442.85</v>
      </c>
      <c r="AA3">
        <v>407.16</v>
      </c>
      <c r="AB3">
        <v>0</v>
      </c>
      <c r="AC3">
        <v>0</v>
      </c>
      <c r="AD3">
        <v>1</v>
      </c>
      <c r="AE3">
        <v>0</v>
      </c>
      <c r="AF3" t="s">
        <v>6</v>
      </c>
      <c r="AG3">
        <v>0.01</v>
      </c>
      <c r="AH3">
        <v>2</v>
      </c>
      <c r="AI3">
        <v>41853718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ROW(Source!A28)</f>
        <v>28</v>
      </c>
      <c r="B4">
        <v>41853719</v>
      </c>
      <c r="C4">
        <v>41853715</v>
      </c>
      <c r="D4">
        <v>40989217</v>
      </c>
      <c r="E4">
        <v>1</v>
      </c>
      <c r="F4">
        <v>1</v>
      </c>
      <c r="G4">
        <v>1</v>
      </c>
      <c r="H4">
        <v>2</v>
      </c>
      <c r="I4" t="s">
        <v>329</v>
      </c>
      <c r="J4" t="s">
        <v>330</v>
      </c>
      <c r="K4" t="s">
        <v>331</v>
      </c>
      <c r="L4">
        <v>1368</v>
      </c>
      <c r="N4">
        <v>1011</v>
      </c>
      <c r="O4" t="s">
        <v>327</v>
      </c>
      <c r="P4" t="s">
        <v>327</v>
      </c>
      <c r="Q4">
        <v>1</v>
      </c>
      <c r="X4">
        <v>0.01</v>
      </c>
      <c r="Y4">
        <v>0</v>
      </c>
      <c r="Z4">
        <v>557.94000000000005</v>
      </c>
      <c r="AA4">
        <v>303.11</v>
      </c>
      <c r="AB4">
        <v>0</v>
      </c>
      <c r="AC4">
        <v>0</v>
      </c>
      <c r="AD4">
        <v>1</v>
      </c>
      <c r="AE4">
        <v>0</v>
      </c>
      <c r="AF4" t="s">
        <v>6</v>
      </c>
      <c r="AG4">
        <v>0.01</v>
      </c>
      <c r="AH4">
        <v>2</v>
      </c>
      <c r="AI4">
        <v>41853719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ROW(Source!A28)</f>
        <v>28</v>
      </c>
      <c r="B5">
        <v>41853720</v>
      </c>
      <c r="C5">
        <v>41853715</v>
      </c>
      <c r="D5">
        <v>40996271</v>
      </c>
      <c r="E5">
        <v>1</v>
      </c>
      <c r="F5">
        <v>1</v>
      </c>
      <c r="G5">
        <v>1</v>
      </c>
      <c r="H5">
        <v>3</v>
      </c>
      <c r="I5" t="s">
        <v>333</v>
      </c>
      <c r="J5" t="s">
        <v>334</v>
      </c>
      <c r="K5" t="s">
        <v>335</v>
      </c>
      <c r="L5">
        <v>1348</v>
      </c>
      <c r="N5">
        <v>1009</v>
      </c>
      <c r="O5" t="s">
        <v>37</v>
      </c>
      <c r="P5" t="s">
        <v>37</v>
      </c>
      <c r="Q5">
        <v>1000</v>
      </c>
      <c r="X5">
        <v>3.0000000000000001E-5</v>
      </c>
      <c r="Y5">
        <v>127406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6</v>
      </c>
      <c r="AG5">
        <v>3.0000000000000001E-5</v>
      </c>
      <c r="AH5">
        <v>2</v>
      </c>
      <c r="AI5">
        <v>41853720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ROW(Source!A28)</f>
        <v>28</v>
      </c>
      <c r="B6">
        <v>41853721</v>
      </c>
      <c r="C6">
        <v>41853715</v>
      </c>
      <c r="D6">
        <v>40676108</v>
      </c>
      <c r="E6">
        <v>108</v>
      </c>
      <c r="F6">
        <v>1</v>
      </c>
      <c r="G6">
        <v>1</v>
      </c>
      <c r="H6">
        <v>3</v>
      </c>
      <c r="I6" t="s">
        <v>28</v>
      </c>
      <c r="J6" t="s">
        <v>6</v>
      </c>
      <c r="K6" t="s">
        <v>29</v>
      </c>
      <c r="L6">
        <v>3277935</v>
      </c>
      <c r="N6">
        <v>1013</v>
      </c>
      <c r="O6" t="s">
        <v>30</v>
      </c>
      <c r="P6" t="s">
        <v>30</v>
      </c>
      <c r="Q6">
        <v>1</v>
      </c>
      <c r="X6">
        <v>2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 t="s">
        <v>6</v>
      </c>
      <c r="AG6">
        <v>2</v>
      </c>
      <c r="AH6">
        <v>2</v>
      </c>
      <c r="AI6">
        <v>41853721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ROW(Source!A30)</f>
        <v>30</v>
      </c>
      <c r="B7">
        <v>41853724</v>
      </c>
      <c r="C7">
        <v>41853723</v>
      </c>
      <c r="D7">
        <v>40669976</v>
      </c>
      <c r="E7">
        <v>108</v>
      </c>
      <c r="F7">
        <v>1</v>
      </c>
      <c r="G7">
        <v>1</v>
      </c>
      <c r="H7">
        <v>1</v>
      </c>
      <c r="I7" t="s">
        <v>336</v>
      </c>
      <c r="J7" t="s">
        <v>6</v>
      </c>
      <c r="K7" t="s">
        <v>337</v>
      </c>
      <c r="L7">
        <v>1191</v>
      </c>
      <c r="N7">
        <v>1013</v>
      </c>
      <c r="O7" t="s">
        <v>321</v>
      </c>
      <c r="P7" t="s">
        <v>321</v>
      </c>
      <c r="Q7">
        <v>1</v>
      </c>
      <c r="X7">
        <v>53.6</v>
      </c>
      <c r="Y7">
        <v>0</v>
      </c>
      <c r="Z7">
        <v>0</v>
      </c>
      <c r="AA7">
        <v>0</v>
      </c>
      <c r="AB7">
        <v>303.11</v>
      </c>
      <c r="AC7">
        <v>0</v>
      </c>
      <c r="AD7">
        <v>1</v>
      </c>
      <c r="AE7">
        <v>1</v>
      </c>
      <c r="AF7" t="s">
        <v>6</v>
      </c>
      <c r="AG7">
        <v>53.6</v>
      </c>
      <c r="AH7">
        <v>2</v>
      </c>
      <c r="AI7">
        <v>41853724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ROW(Source!A30)</f>
        <v>30</v>
      </c>
      <c r="B8">
        <v>41853725</v>
      </c>
      <c r="C8">
        <v>41853723</v>
      </c>
      <c r="D8">
        <v>40670210</v>
      </c>
      <c r="E8">
        <v>108</v>
      </c>
      <c r="F8">
        <v>1</v>
      </c>
      <c r="G8">
        <v>1</v>
      </c>
      <c r="H8">
        <v>1</v>
      </c>
      <c r="I8" t="s">
        <v>322</v>
      </c>
      <c r="J8" t="s">
        <v>6</v>
      </c>
      <c r="K8" t="s">
        <v>323</v>
      </c>
      <c r="L8">
        <v>1191</v>
      </c>
      <c r="N8">
        <v>1013</v>
      </c>
      <c r="O8" t="s">
        <v>321</v>
      </c>
      <c r="P8" t="s">
        <v>321</v>
      </c>
      <c r="Q8">
        <v>1</v>
      </c>
      <c r="X8">
        <v>3.2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6</v>
      </c>
      <c r="AG8">
        <v>3.2</v>
      </c>
      <c r="AH8">
        <v>2</v>
      </c>
      <c r="AI8">
        <v>41853725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ROW(Source!A30)</f>
        <v>30</v>
      </c>
      <c r="B9">
        <v>41853726</v>
      </c>
      <c r="C9">
        <v>41853723</v>
      </c>
      <c r="D9">
        <v>40987978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327</v>
      </c>
      <c r="P9" t="s">
        <v>327</v>
      </c>
      <c r="Q9">
        <v>1</v>
      </c>
      <c r="X9">
        <v>1.6</v>
      </c>
      <c r="Y9">
        <v>0</v>
      </c>
      <c r="Z9">
        <v>1442.85</v>
      </c>
      <c r="AA9">
        <v>407.16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1.6</v>
      </c>
      <c r="AH9">
        <v>2</v>
      </c>
      <c r="AI9">
        <v>41853726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ROW(Source!A30)</f>
        <v>30</v>
      </c>
      <c r="B10">
        <v>41853727</v>
      </c>
      <c r="C10">
        <v>41853723</v>
      </c>
      <c r="D10">
        <v>40989217</v>
      </c>
      <c r="E10">
        <v>1</v>
      </c>
      <c r="F10">
        <v>1</v>
      </c>
      <c r="G10">
        <v>1</v>
      </c>
      <c r="H10">
        <v>2</v>
      </c>
      <c r="I10" t="s">
        <v>329</v>
      </c>
      <c r="J10" t="s">
        <v>330</v>
      </c>
      <c r="K10" t="s">
        <v>331</v>
      </c>
      <c r="L10">
        <v>1368</v>
      </c>
      <c r="N10">
        <v>1011</v>
      </c>
      <c r="O10" t="s">
        <v>327</v>
      </c>
      <c r="P10" t="s">
        <v>327</v>
      </c>
      <c r="Q10">
        <v>1</v>
      </c>
      <c r="X10">
        <v>1.6</v>
      </c>
      <c r="Y10">
        <v>0</v>
      </c>
      <c r="Z10">
        <v>557.94000000000005</v>
      </c>
      <c r="AA10">
        <v>303.11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1.6</v>
      </c>
      <c r="AH10">
        <v>2</v>
      </c>
      <c r="AI10">
        <v>41853727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ROW(Source!A30)</f>
        <v>30</v>
      </c>
      <c r="B11">
        <v>41853728</v>
      </c>
      <c r="C11">
        <v>41853723</v>
      </c>
      <c r="D11">
        <v>40989496</v>
      </c>
      <c r="E11">
        <v>1</v>
      </c>
      <c r="F11">
        <v>1</v>
      </c>
      <c r="G11">
        <v>1</v>
      </c>
      <c r="H11">
        <v>2</v>
      </c>
      <c r="I11" t="s">
        <v>338</v>
      </c>
      <c r="J11" t="s">
        <v>339</v>
      </c>
      <c r="K11" t="s">
        <v>340</v>
      </c>
      <c r="L11">
        <v>1368</v>
      </c>
      <c r="N11">
        <v>1011</v>
      </c>
      <c r="O11" t="s">
        <v>327</v>
      </c>
      <c r="P11" t="s">
        <v>327</v>
      </c>
      <c r="Q11">
        <v>1</v>
      </c>
      <c r="X11">
        <v>13.07</v>
      </c>
      <c r="Y11">
        <v>0</v>
      </c>
      <c r="Z11">
        <v>17.78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13.07</v>
      </c>
      <c r="AH11">
        <v>2</v>
      </c>
      <c r="AI11">
        <v>41853728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ROW(Source!A30)</f>
        <v>30</v>
      </c>
      <c r="B12">
        <v>41853729</v>
      </c>
      <c r="C12">
        <v>41853723</v>
      </c>
      <c r="D12">
        <v>40995195</v>
      </c>
      <c r="E12">
        <v>1</v>
      </c>
      <c r="F12">
        <v>1</v>
      </c>
      <c r="G12">
        <v>1</v>
      </c>
      <c r="H12">
        <v>3</v>
      </c>
      <c r="I12" t="s">
        <v>341</v>
      </c>
      <c r="J12" t="s">
        <v>342</v>
      </c>
      <c r="K12" t="s">
        <v>343</v>
      </c>
      <c r="L12">
        <v>1346</v>
      </c>
      <c r="N12">
        <v>1009</v>
      </c>
      <c r="O12" t="s">
        <v>344</v>
      </c>
      <c r="P12" t="s">
        <v>344</v>
      </c>
      <c r="Q12">
        <v>1</v>
      </c>
      <c r="X12">
        <v>4.2</v>
      </c>
      <c r="Y12">
        <v>155.63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39</v>
      </c>
      <c r="AG12">
        <v>0</v>
      </c>
      <c r="AH12">
        <v>2</v>
      </c>
      <c r="AI12">
        <v>41853729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ROW(Source!A30)</f>
        <v>30</v>
      </c>
      <c r="B13">
        <v>41853730</v>
      </c>
      <c r="C13">
        <v>41853723</v>
      </c>
      <c r="D13">
        <v>40996264</v>
      </c>
      <c r="E13">
        <v>1</v>
      </c>
      <c r="F13">
        <v>1</v>
      </c>
      <c r="G13">
        <v>1</v>
      </c>
      <c r="H13">
        <v>3</v>
      </c>
      <c r="I13" t="s">
        <v>345</v>
      </c>
      <c r="J13" t="s">
        <v>346</v>
      </c>
      <c r="K13" t="s">
        <v>347</v>
      </c>
      <c r="L13">
        <v>1346</v>
      </c>
      <c r="N13">
        <v>1009</v>
      </c>
      <c r="O13" t="s">
        <v>344</v>
      </c>
      <c r="P13" t="s">
        <v>344</v>
      </c>
      <c r="Q13">
        <v>1</v>
      </c>
      <c r="X13">
        <v>27</v>
      </c>
      <c r="Y13">
        <v>174.93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39</v>
      </c>
      <c r="AG13">
        <v>0</v>
      </c>
      <c r="AH13">
        <v>2</v>
      </c>
      <c r="AI13">
        <v>41853730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ROW(Source!A30)</f>
        <v>30</v>
      </c>
      <c r="B14">
        <v>41853731</v>
      </c>
      <c r="C14">
        <v>41853723</v>
      </c>
      <c r="D14">
        <v>40996397</v>
      </c>
      <c r="E14">
        <v>1</v>
      </c>
      <c r="F14">
        <v>1</v>
      </c>
      <c r="G14">
        <v>1</v>
      </c>
      <c r="H14">
        <v>3</v>
      </c>
      <c r="I14" t="s">
        <v>348</v>
      </c>
      <c r="J14" t="s">
        <v>349</v>
      </c>
      <c r="K14" t="s">
        <v>350</v>
      </c>
      <c r="L14">
        <v>1425</v>
      </c>
      <c r="N14">
        <v>1013</v>
      </c>
      <c r="O14" t="s">
        <v>44</v>
      </c>
      <c r="P14" t="s">
        <v>44</v>
      </c>
      <c r="Q14">
        <v>1</v>
      </c>
      <c r="X14">
        <v>0.8</v>
      </c>
      <c r="Y14">
        <v>237.77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39</v>
      </c>
      <c r="AG14">
        <v>0</v>
      </c>
      <c r="AH14">
        <v>2</v>
      </c>
      <c r="AI14">
        <v>41853731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ROW(Source!A30)</f>
        <v>30</v>
      </c>
      <c r="B15">
        <v>41853732</v>
      </c>
      <c r="C15">
        <v>41853723</v>
      </c>
      <c r="D15">
        <v>40998861</v>
      </c>
      <c r="E15">
        <v>1</v>
      </c>
      <c r="F15">
        <v>1</v>
      </c>
      <c r="G15">
        <v>1</v>
      </c>
      <c r="H15">
        <v>3</v>
      </c>
      <c r="I15" t="s">
        <v>351</v>
      </c>
      <c r="J15" t="s">
        <v>352</v>
      </c>
      <c r="K15" t="s">
        <v>353</v>
      </c>
      <c r="L15">
        <v>1339</v>
      </c>
      <c r="N15">
        <v>1007</v>
      </c>
      <c r="O15" t="s">
        <v>354</v>
      </c>
      <c r="P15" t="s">
        <v>354</v>
      </c>
      <c r="Q15">
        <v>1</v>
      </c>
      <c r="X15">
        <v>0.15</v>
      </c>
      <c r="Y15">
        <v>565.20000000000005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39</v>
      </c>
      <c r="AG15">
        <v>0</v>
      </c>
      <c r="AH15">
        <v>2</v>
      </c>
      <c r="AI15">
        <v>41853732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ROW(Source!A30)</f>
        <v>30</v>
      </c>
      <c r="B16">
        <v>41853733</v>
      </c>
      <c r="C16">
        <v>41853723</v>
      </c>
      <c r="D16">
        <v>40999211</v>
      </c>
      <c r="E16">
        <v>1</v>
      </c>
      <c r="F16">
        <v>1</v>
      </c>
      <c r="G16">
        <v>1</v>
      </c>
      <c r="H16">
        <v>3</v>
      </c>
      <c r="I16" t="s">
        <v>355</v>
      </c>
      <c r="J16" t="s">
        <v>356</v>
      </c>
      <c r="K16" t="s">
        <v>357</v>
      </c>
      <c r="L16">
        <v>1348</v>
      </c>
      <c r="N16">
        <v>1009</v>
      </c>
      <c r="O16" t="s">
        <v>37</v>
      </c>
      <c r="P16" t="s">
        <v>37</v>
      </c>
      <c r="Q16">
        <v>1000</v>
      </c>
      <c r="X16">
        <v>0.18</v>
      </c>
      <c r="Y16">
        <v>6746.26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39</v>
      </c>
      <c r="AG16">
        <v>0</v>
      </c>
      <c r="AH16">
        <v>2</v>
      </c>
      <c r="AI16">
        <v>41853733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ROW(Source!A30)</f>
        <v>30</v>
      </c>
      <c r="B17">
        <v>41853734</v>
      </c>
      <c r="C17">
        <v>41853723</v>
      </c>
      <c r="D17">
        <v>41004163</v>
      </c>
      <c r="E17">
        <v>1</v>
      </c>
      <c r="F17">
        <v>1</v>
      </c>
      <c r="G17">
        <v>1</v>
      </c>
      <c r="H17">
        <v>3</v>
      </c>
      <c r="I17" t="s">
        <v>358</v>
      </c>
      <c r="J17" t="s">
        <v>359</v>
      </c>
      <c r="K17" t="s">
        <v>360</v>
      </c>
      <c r="L17">
        <v>1348</v>
      </c>
      <c r="N17">
        <v>1009</v>
      </c>
      <c r="O17" t="s">
        <v>37</v>
      </c>
      <c r="P17" t="s">
        <v>37</v>
      </c>
      <c r="Q17">
        <v>1000</v>
      </c>
      <c r="X17">
        <v>1</v>
      </c>
      <c r="Y17">
        <v>105278.81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39</v>
      </c>
      <c r="AG17">
        <v>0</v>
      </c>
      <c r="AH17">
        <v>2</v>
      </c>
      <c r="AI17">
        <v>41853734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ROW(Source!A30)</f>
        <v>30</v>
      </c>
      <c r="B18">
        <v>41853735</v>
      </c>
      <c r="C18">
        <v>41853723</v>
      </c>
      <c r="D18">
        <v>40676108</v>
      </c>
      <c r="E18">
        <v>108</v>
      </c>
      <c r="F18">
        <v>1</v>
      </c>
      <c r="G18">
        <v>1</v>
      </c>
      <c r="H18">
        <v>3</v>
      </c>
      <c r="I18" t="s">
        <v>28</v>
      </c>
      <c r="J18" t="s">
        <v>6</v>
      </c>
      <c r="K18" t="s">
        <v>29</v>
      </c>
      <c r="L18">
        <v>3277935</v>
      </c>
      <c r="N18">
        <v>1013</v>
      </c>
      <c r="O18" t="s">
        <v>30</v>
      </c>
      <c r="P18" t="s">
        <v>30</v>
      </c>
      <c r="Q18">
        <v>1</v>
      </c>
      <c r="X18">
        <v>2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 t="s">
        <v>39</v>
      </c>
      <c r="AG18">
        <v>0</v>
      </c>
      <c r="AH18">
        <v>2</v>
      </c>
      <c r="AI18">
        <v>41853735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ROW(Source!A32)</f>
        <v>32</v>
      </c>
      <c r="B19">
        <v>41853741</v>
      </c>
      <c r="C19">
        <v>41853738</v>
      </c>
      <c r="D19">
        <v>40669968</v>
      </c>
      <c r="E19">
        <v>108</v>
      </c>
      <c r="F19">
        <v>1</v>
      </c>
      <c r="G19">
        <v>1</v>
      </c>
      <c r="H19">
        <v>1</v>
      </c>
      <c r="I19" t="s">
        <v>361</v>
      </c>
      <c r="J19" t="s">
        <v>6</v>
      </c>
      <c r="K19" t="s">
        <v>362</v>
      </c>
      <c r="L19">
        <v>1191</v>
      </c>
      <c r="N19">
        <v>1013</v>
      </c>
      <c r="O19" t="s">
        <v>321</v>
      </c>
      <c r="P19" t="s">
        <v>321</v>
      </c>
      <c r="Q19">
        <v>1</v>
      </c>
      <c r="X19">
        <v>12.16</v>
      </c>
      <c r="Y19">
        <v>0</v>
      </c>
      <c r="Z19">
        <v>0</v>
      </c>
      <c r="AA19">
        <v>0</v>
      </c>
      <c r="AB19">
        <v>296.32</v>
      </c>
      <c r="AC19">
        <v>0</v>
      </c>
      <c r="AD19">
        <v>1</v>
      </c>
      <c r="AE19">
        <v>1</v>
      </c>
      <c r="AF19" t="s">
        <v>6</v>
      </c>
      <c r="AG19">
        <v>12.16</v>
      </c>
      <c r="AH19">
        <v>2</v>
      </c>
      <c r="AI19">
        <v>41853741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ROW(Source!A32)</f>
        <v>32</v>
      </c>
      <c r="B20">
        <v>41853742</v>
      </c>
      <c r="C20">
        <v>41853738</v>
      </c>
      <c r="D20">
        <v>40676108</v>
      </c>
      <c r="E20">
        <v>108</v>
      </c>
      <c r="F20">
        <v>1</v>
      </c>
      <c r="G20">
        <v>1</v>
      </c>
      <c r="H20">
        <v>3</v>
      </c>
      <c r="I20" t="s">
        <v>28</v>
      </c>
      <c r="J20" t="s">
        <v>6</v>
      </c>
      <c r="K20" t="s">
        <v>29</v>
      </c>
      <c r="L20">
        <v>3277935</v>
      </c>
      <c r="N20">
        <v>1013</v>
      </c>
      <c r="O20" t="s">
        <v>30</v>
      </c>
      <c r="P20" t="s">
        <v>30</v>
      </c>
      <c r="Q20">
        <v>1</v>
      </c>
      <c r="X20">
        <v>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6</v>
      </c>
      <c r="AG20">
        <v>2</v>
      </c>
      <c r="AH20">
        <v>2</v>
      </c>
      <c r="AI20">
        <v>41853742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ROW(Source!A134)</f>
        <v>134</v>
      </c>
      <c r="B21">
        <v>41853891</v>
      </c>
      <c r="C21">
        <v>41853890</v>
      </c>
      <c r="D21">
        <v>40669982</v>
      </c>
      <c r="E21">
        <v>108</v>
      </c>
      <c r="F21">
        <v>1</v>
      </c>
      <c r="G21">
        <v>1</v>
      </c>
      <c r="H21">
        <v>1</v>
      </c>
      <c r="I21" t="s">
        <v>319</v>
      </c>
      <c r="J21" t="s">
        <v>6</v>
      </c>
      <c r="K21" t="s">
        <v>320</v>
      </c>
      <c r="L21">
        <v>1191</v>
      </c>
      <c r="N21">
        <v>1013</v>
      </c>
      <c r="O21" t="s">
        <v>321</v>
      </c>
      <c r="P21" t="s">
        <v>321</v>
      </c>
      <c r="Q21">
        <v>1</v>
      </c>
      <c r="X21">
        <v>0.7</v>
      </c>
      <c r="Y21">
        <v>0</v>
      </c>
      <c r="Z21">
        <v>0</v>
      </c>
      <c r="AA21">
        <v>0</v>
      </c>
      <c r="AB21">
        <v>312.16000000000003</v>
      </c>
      <c r="AC21">
        <v>0</v>
      </c>
      <c r="AD21">
        <v>1</v>
      </c>
      <c r="AE21">
        <v>1</v>
      </c>
      <c r="AF21" t="s">
        <v>6</v>
      </c>
      <c r="AG21">
        <v>0.7</v>
      </c>
      <c r="AH21">
        <v>2</v>
      </c>
      <c r="AI21">
        <v>41853891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ROW(Source!A134)</f>
        <v>134</v>
      </c>
      <c r="B22">
        <v>41853892</v>
      </c>
      <c r="C22">
        <v>41853890</v>
      </c>
      <c r="D22">
        <v>40670210</v>
      </c>
      <c r="E22">
        <v>108</v>
      </c>
      <c r="F22">
        <v>1</v>
      </c>
      <c r="G22">
        <v>1</v>
      </c>
      <c r="H22">
        <v>1</v>
      </c>
      <c r="I22" t="s">
        <v>322</v>
      </c>
      <c r="J22" t="s">
        <v>6</v>
      </c>
      <c r="K22" t="s">
        <v>323</v>
      </c>
      <c r="L22">
        <v>1191</v>
      </c>
      <c r="N22">
        <v>1013</v>
      </c>
      <c r="O22" t="s">
        <v>321</v>
      </c>
      <c r="P22" t="s">
        <v>321</v>
      </c>
      <c r="Q22">
        <v>1</v>
      </c>
      <c r="X22">
        <v>0.02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6</v>
      </c>
      <c r="AG22">
        <v>0.02</v>
      </c>
      <c r="AH22">
        <v>2</v>
      </c>
      <c r="AI22">
        <v>41853892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ROW(Source!A134)</f>
        <v>134</v>
      </c>
      <c r="B23">
        <v>41853893</v>
      </c>
      <c r="C23">
        <v>41853890</v>
      </c>
      <c r="D23">
        <v>40987978</v>
      </c>
      <c r="E23">
        <v>1</v>
      </c>
      <c r="F23">
        <v>1</v>
      </c>
      <c r="G23">
        <v>1</v>
      </c>
      <c r="H23">
        <v>2</v>
      </c>
      <c r="I23" t="s">
        <v>324</v>
      </c>
      <c r="J23" t="s">
        <v>325</v>
      </c>
      <c r="K23" t="s">
        <v>326</v>
      </c>
      <c r="L23">
        <v>1368</v>
      </c>
      <c r="N23">
        <v>1011</v>
      </c>
      <c r="O23" t="s">
        <v>327</v>
      </c>
      <c r="P23" t="s">
        <v>327</v>
      </c>
      <c r="Q23">
        <v>1</v>
      </c>
      <c r="X23">
        <v>0.01</v>
      </c>
      <c r="Y23">
        <v>0</v>
      </c>
      <c r="Z23">
        <v>1442.85</v>
      </c>
      <c r="AA23">
        <v>407.16</v>
      </c>
      <c r="AB23">
        <v>0</v>
      </c>
      <c r="AC23">
        <v>0</v>
      </c>
      <c r="AD23">
        <v>1</v>
      </c>
      <c r="AE23">
        <v>0</v>
      </c>
      <c r="AF23" t="s">
        <v>6</v>
      </c>
      <c r="AG23">
        <v>0.01</v>
      </c>
      <c r="AH23">
        <v>2</v>
      </c>
      <c r="AI23">
        <v>41853893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ROW(Source!A134)</f>
        <v>134</v>
      </c>
      <c r="B24">
        <v>41853894</v>
      </c>
      <c r="C24">
        <v>41853890</v>
      </c>
      <c r="D24">
        <v>40989217</v>
      </c>
      <c r="E24">
        <v>1</v>
      </c>
      <c r="F24">
        <v>1</v>
      </c>
      <c r="G24">
        <v>1</v>
      </c>
      <c r="H24">
        <v>2</v>
      </c>
      <c r="I24" t="s">
        <v>329</v>
      </c>
      <c r="J24" t="s">
        <v>330</v>
      </c>
      <c r="K24" t="s">
        <v>331</v>
      </c>
      <c r="L24">
        <v>1368</v>
      </c>
      <c r="N24">
        <v>1011</v>
      </c>
      <c r="O24" t="s">
        <v>327</v>
      </c>
      <c r="P24" t="s">
        <v>327</v>
      </c>
      <c r="Q24">
        <v>1</v>
      </c>
      <c r="X24">
        <v>0.01</v>
      </c>
      <c r="Y24">
        <v>0</v>
      </c>
      <c r="Z24">
        <v>557.94000000000005</v>
      </c>
      <c r="AA24">
        <v>303.11</v>
      </c>
      <c r="AB24">
        <v>0</v>
      </c>
      <c r="AC24">
        <v>0</v>
      </c>
      <c r="AD24">
        <v>1</v>
      </c>
      <c r="AE24">
        <v>0</v>
      </c>
      <c r="AF24" t="s">
        <v>6</v>
      </c>
      <c r="AG24">
        <v>0.01</v>
      </c>
      <c r="AH24">
        <v>2</v>
      </c>
      <c r="AI24">
        <v>41853894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ROW(Source!A134)</f>
        <v>134</v>
      </c>
      <c r="B25">
        <v>41853895</v>
      </c>
      <c r="C25">
        <v>41853890</v>
      </c>
      <c r="D25">
        <v>40996271</v>
      </c>
      <c r="E25">
        <v>1</v>
      </c>
      <c r="F25">
        <v>1</v>
      </c>
      <c r="G25">
        <v>1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37</v>
      </c>
      <c r="P25" t="s">
        <v>37</v>
      </c>
      <c r="Q25">
        <v>1000</v>
      </c>
      <c r="X25">
        <v>3.0000000000000001E-5</v>
      </c>
      <c r="Y25">
        <v>127406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6</v>
      </c>
      <c r="AG25">
        <v>3.0000000000000001E-5</v>
      </c>
      <c r="AH25">
        <v>2</v>
      </c>
      <c r="AI25">
        <v>41853895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ROW(Source!A134)</f>
        <v>134</v>
      </c>
      <c r="B26">
        <v>41853896</v>
      </c>
      <c r="C26">
        <v>41853890</v>
      </c>
      <c r="D26">
        <v>40676108</v>
      </c>
      <c r="E26">
        <v>108</v>
      </c>
      <c r="F26">
        <v>1</v>
      </c>
      <c r="G26">
        <v>1</v>
      </c>
      <c r="H26">
        <v>3</v>
      </c>
      <c r="I26" t="s">
        <v>28</v>
      </c>
      <c r="J26" t="s">
        <v>6</v>
      </c>
      <c r="K26" t="s">
        <v>29</v>
      </c>
      <c r="L26">
        <v>3277935</v>
      </c>
      <c r="N26">
        <v>1013</v>
      </c>
      <c r="O26" t="s">
        <v>30</v>
      </c>
      <c r="P26" t="s">
        <v>30</v>
      </c>
      <c r="Q26">
        <v>1</v>
      </c>
      <c r="X26">
        <v>2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6</v>
      </c>
      <c r="AG26">
        <v>2</v>
      </c>
      <c r="AH26">
        <v>2</v>
      </c>
      <c r="AI26">
        <v>41853896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ROW(Source!A136)</f>
        <v>136</v>
      </c>
      <c r="B27">
        <v>41853899</v>
      </c>
      <c r="C27">
        <v>41853898</v>
      </c>
      <c r="D27">
        <v>40669968</v>
      </c>
      <c r="E27">
        <v>108</v>
      </c>
      <c r="F27">
        <v>1</v>
      </c>
      <c r="G27">
        <v>1</v>
      </c>
      <c r="H27">
        <v>1</v>
      </c>
      <c r="I27" t="s">
        <v>361</v>
      </c>
      <c r="J27" t="s">
        <v>6</v>
      </c>
      <c r="K27" t="s">
        <v>362</v>
      </c>
      <c r="L27">
        <v>1191</v>
      </c>
      <c r="N27">
        <v>1013</v>
      </c>
      <c r="O27" t="s">
        <v>321</v>
      </c>
      <c r="P27" t="s">
        <v>321</v>
      </c>
      <c r="Q27">
        <v>1</v>
      </c>
      <c r="X27">
        <v>12.16</v>
      </c>
      <c r="Y27">
        <v>0</v>
      </c>
      <c r="Z27">
        <v>0</v>
      </c>
      <c r="AA27">
        <v>0</v>
      </c>
      <c r="AB27">
        <v>296.32</v>
      </c>
      <c r="AC27">
        <v>0</v>
      </c>
      <c r="AD27">
        <v>1</v>
      </c>
      <c r="AE27">
        <v>1</v>
      </c>
      <c r="AF27" t="s">
        <v>6</v>
      </c>
      <c r="AG27">
        <v>12.16</v>
      </c>
      <c r="AH27">
        <v>2</v>
      </c>
      <c r="AI27">
        <v>41853899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ROW(Source!A136)</f>
        <v>136</v>
      </c>
      <c r="B28">
        <v>41853900</v>
      </c>
      <c r="C28">
        <v>41853898</v>
      </c>
      <c r="D28">
        <v>40676108</v>
      </c>
      <c r="E28">
        <v>108</v>
      </c>
      <c r="F28">
        <v>1</v>
      </c>
      <c r="G28">
        <v>1</v>
      </c>
      <c r="H28">
        <v>3</v>
      </c>
      <c r="I28" t="s">
        <v>28</v>
      </c>
      <c r="J28" t="s">
        <v>6</v>
      </c>
      <c r="K28" t="s">
        <v>29</v>
      </c>
      <c r="L28">
        <v>3277935</v>
      </c>
      <c r="N28">
        <v>1013</v>
      </c>
      <c r="O28" t="s">
        <v>30</v>
      </c>
      <c r="P28" t="s">
        <v>30</v>
      </c>
      <c r="Q28">
        <v>1</v>
      </c>
      <c r="X28">
        <v>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6</v>
      </c>
      <c r="AG28">
        <v>2</v>
      </c>
      <c r="AH28">
        <v>2</v>
      </c>
      <c r="AI28">
        <v>41853900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ROW(Source!A237)</f>
        <v>237</v>
      </c>
      <c r="B29">
        <v>41854048</v>
      </c>
      <c r="C29">
        <v>41854047</v>
      </c>
      <c r="D29">
        <v>40669982</v>
      </c>
      <c r="E29">
        <v>108</v>
      </c>
      <c r="F29">
        <v>1</v>
      </c>
      <c r="G29">
        <v>1</v>
      </c>
      <c r="H29">
        <v>1</v>
      </c>
      <c r="I29" t="s">
        <v>319</v>
      </c>
      <c r="J29" t="s">
        <v>6</v>
      </c>
      <c r="K29" t="s">
        <v>320</v>
      </c>
      <c r="L29">
        <v>1191</v>
      </c>
      <c r="N29">
        <v>1013</v>
      </c>
      <c r="O29" t="s">
        <v>321</v>
      </c>
      <c r="P29" t="s">
        <v>321</v>
      </c>
      <c r="Q29">
        <v>1</v>
      </c>
      <c r="X29">
        <v>3.09</v>
      </c>
      <c r="Y29">
        <v>0</v>
      </c>
      <c r="Z29">
        <v>0</v>
      </c>
      <c r="AA29">
        <v>0</v>
      </c>
      <c r="AB29">
        <v>312.16000000000003</v>
      </c>
      <c r="AC29">
        <v>0</v>
      </c>
      <c r="AD29">
        <v>1</v>
      </c>
      <c r="AE29">
        <v>1</v>
      </c>
      <c r="AF29" t="s">
        <v>6</v>
      </c>
      <c r="AG29">
        <v>3.09</v>
      </c>
      <c r="AH29">
        <v>2</v>
      </c>
      <c r="AI29">
        <v>41854048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ROW(Source!A237)</f>
        <v>237</v>
      </c>
      <c r="B30">
        <v>41854049</v>
      </c>
      <c r="C30">
        <v>41854047</v>
      </c>
      <c r="D30">
        <v>40670210</v>
      </c>
      <c r="E30">
        <v>108</v>
      </c>
      <c r="F30">
        <v>1</v>
      </c>
      <c r="G30">
        <v>1</v>
      </c>
      <c r="H30">
        <v>1</v>
      </c>
      <c r="I30" t="s">
        <v>322</v>
      </c>
      <c r="J30" t="s">
        <v>6</v>
      </c>
      <c r="K30" t="s">
        <v>323</v>
      </c>
      <c r="L30">
        <v>1191</v>
      </c>
      <c r="N30">
        <v>1013</v>
      </c>
      <c r="O30" t="s">
        <v>321</v>
      </c>
      <c r="P30" t="s">
        <v>321</v>
      </c>
      <c r="Q30">
        <v>1</v>
      </c>
      <c r="X30">
        <v>0.52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6</v>
      </c>
      <c r="AG30">
        <v>0.52</v>
      </c>
      <c r="AH30">
        <v>2</v>
      </c>
      <c r="AI30">
        <v>41854049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ROW(Source!A237)</f>
        <v>237</v>
      </c>
      <c r="B31">
        <v>41854050</v>
      </c>
      <c r="C31">
        <v>41854047</v>
      </c>
      <c r="D31">
        <v>40987978</v>
      </c>
      <c r="E31">
        <v>1</v>
      </c>
      <c r="F31">
        <v>1</v>
      </c>
      <c r="G31">
        <v>1</v>
      </c>
      <c r="H31">
        <v>2</v>
      </c>
      <c r="I31" t="s">
        <v>324</v>
      </c>
      <c r="J31" t="s">
        <v>325</v>
      </c>
      <c r="K31" t="s">
        <v>326</v>
      </c>
      <c r="L31">
        <v>1368</v>
      </c>
      <c r="N31">
        <v>1011</v>
      </c>
      <c r="O31" t="s">
        <v>327</v>
      </c>
      <c r="P31" t="s">
        <v>327</v>
      </c>
      <c r="Q31">
        <v>1</v>
      </c>
      <c r="X31">
        <v>0.26</v>
      </c>
      <c r="Y31">
        <v>0</v>
      </c>
      <c r="Z31">
        <v>1442.85</v>
      </c>
      <c r="AA31">
        <v>407.16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0.26</v>
      </c>
      <c r="AH31">
        <v>2</v>
      </c>
      <c r="AI31">
        <v>41854050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ROW(Source!A237)</f>
        <v>237</v>
      </c>
      <c r="B32">
        <v>41854051</v>
      </c>
      <c r="C32">
        <v>41854047</v>
      </c>
      <c r="D32">
        <v>40989217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327</v>
      </c>
      <c r="P32" t="s">
        <v>327</v>
      </c>
      <c r="Q32">
        <v>1</v>
      </c>
      <c r="X32">
        <v>0.26</v>
      </c>
      <c r="Y32">
        <v>0</v>
      </c>
      <c r="Z32">
        <v>557.94000000000005</v>
      </c>
      <c r="AA32">
        <v>303.11</v>
      </c>
      <c r="AB32">
        <v>0</v>
      </c>
      <c r="AC32">
        <v>0</v>
      </c>
      <c r="AD32">
        <v>1</v>
      </c>
      <c r="AE32">
        <v>0</v>
      </c>
      <c r="AF32" t="s">
        <v>6</v>
      </c>
      <c r="AG32">
        <v>0.26</v>
      </c>
      <c r="AH32">
        <v>2</v>
      </c>
      <c r="AI32">
        <v>41854051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ROW(Source!A237)</f>
        <v>237</v>
      </c>
      <c r="B33">
        <v>41854052</v>
      </c>
      <c r="C33">
        <v>41854047</v>
      </c>
      <c r="D33">
        <v>40989496</v>
      </c>
      <c r="E33">
        <v>1</v>
      </c>
      <c r="F33">
        <v>1</v>
      </c>
      <c r="G33">
        <v>1</v>
      </c>
      <c r="H33">
        <v>2</v>
      </c>
      <c r="I33" t="s">
        <v>338</v>
      </c>
      <c r="J33" t="s">
        <v>339</v>
      </c>
      <c r="K33" t="s">
        <v>340</v>
      </c>
      <c r="L33">
        <v>1368</v>
      </c>
      <c r="N33">
        <v>1011</v>
      </c>
      <c r="O33" t="s">
        <v>327</v>
      </c>
      <c r="P33" t="s">
        <v>327</v>
      </c>
      <c r="Q33">
        <v>1</v>
      </c>
      <c r="X33">
        <v>0.99</v>
      </c>
      <c r="Y33">
        <v>0</v>
      </c>
      <c r="Z33">
        <v>17.78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6</v>
      </c>
      <c r="AG33">
        <v>0.99</v>
      </c>
      <c r="AH33">
        <v>2</v>
      </c>
      <c r="AI33">
        <v>41854052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ROW(Source!A237)</f>
        <v>237</v>
      </c>
      <c r="B34">
        <v>41854053</v>
      </c>
      <c r="C34">
        <v>41854047</v>
      </c>
      <c r="D34">
        <v>40995195</v>
      </c>
      <c r="E34">
        <v>1</v>
      </c>
      <c r="F34">
        <v>1</v>
      </c>
      <c r="G34">
        <v>1</v>
      </c>
      <c r="H34">
        <v>3</v>
      </c>
      <c r="I34" t="s">
        <v>341</v>
      </c>
      <c r="J34" t="s">
        <v>342</v>
      </c>
      <c r="K34" t="s">
        <v>343</v>
      </c>
      <c r="L34">
        <v>1346</v>
      </c>
      <c r="N34">
        <v>1009</v>
      </c>
      <c r="O34" t="s">
        <v>344</v>
      </c>
      <c r="P34" t="s">
        <v>344</v>
      </c>
      <c r="Q34">
        <v>1</v>
      </c>
      <c r="X34">
        <v>0.25</v>
      </c>
      <c r="Y34">
        <v>155.63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6</v>
      </c>
      <c r="AG34">
        <v>0.25</v>
      </c>
      <c r="AH34">
        <v>2</v>
      </c>
      <c r="AI34">
        <v>41854053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ROW(Source!A237)</f>
        <v>237</v>
      </c>
      <c r="B35">
        <v>41854054</v>
      </c>
      <c r="C35">
        <v>41854047</v>
      </c>
      <c r="D35">
        <v>40996264</v>
      </c>
      <c r="E35">
        <v>1</v>
      </c>
      <c r="F35">
        <v>1</v>
      </c>
      <c r="G35">
        <v>1</v>
      </c>
      <c r="H35">
        <v>3</v>
      </c>
      <c r="I35" t="s">
        <v>345</v>
      </c>
      <c r="J35" t="s">
        <v>346</v>
      </c>
      <c r="K35" t="s">
        <v>347</v>
      </c>
      <c r="L35">
        <v>1346</v>
      </c>
      <c r="N35">
        <v>1009</v>
      </c>
      <c r="O35" t="s">
        <v>344</v>
      </c>
      <c r="P35" t="s">
        <v>344</v>
      </c>
      <c r="Q35">
        <v>1</v>
      </c>
      <c r="X35">
        <v>0.17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6</v>
      </c>
      <c r="AG35">
        <v>0.17</v>
      </c>
      <c r="AH35">
        <v>2</v>
      </c>
      <c r="AI35">
        <v>41854054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ROW(Source!A237)</f>
        <v>237</v>
      </c>
      <c r="B36">
        <v>41854055</v>
      </c>
      <c r="C36">
        <v>41854047</v>
      </c>
      <c r="D36">
        <v>41004163</v>
      </c>
      <c r="E36">
        <v>1</v>
      </c>
      <c r="F36">
        <v>1</v>
      </c>
      <c r="G36">
        <v>1</v>
      </c>
      <c r="H36">
        <v>3</v>
      </c>
      <c r="I36" t="s">
        <v>358</v>
      </c>
      <c r="J36" t="s">
        <v>359</v>
      </c>
      <c r="K36" t="s">
        <v>360</v>
      </c>
      <c r="L36">
        <v>1348</v>
      </c>
      <c r="N36">
        <v>1009</v>
      </c>
      <c r="O36" t="s">
        <v>37</v>
      </c>
      <c r="P36" t="s">
        <v>37</v>
      </c>
      <c r="Q36">
        <v>1000</v>
      </c>
      <c r="X36">
        <v>2.5000000000000001E-2</v>
      </c>
      <c r="Y36">
        <v>105278.81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6</v>
      </c>
      <c r="AG36">
        <v>2.5000000000000001E-2</v>
      </c>
      <c r="AH36">
        <v>2</v>
      </c>
      <c r="AI36">
        <v>41854055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ROW(Source!A237)</f>
        <v>237</v>
      </c>
      <c r="B37">
        <v>41854056</v>
      </c>
      <c r="C37">
        <v>41854047</v>
      </c>
      <c r="D37">
        <v>41024880</v>
      </c>
      <c r="E37">
        <v>1</v>
      </c>
      <c r="F37">
        <v>1</v>
      </c>
      <c r="G37">
        <v>1</v>
      </c>
      <c r="H37">
        <v>3</v>
      </c>
      <c r="I37" t="s">
        <v>363</v>
      </c>
      <c r="J37" t="s">
        <v>364</v>
      </c>
      <c r="K37" t="s">
        <v>365</v>
      </c>
      <c r="L37">
        <v>1346</v>
      </c>
      <c r="N37">
        <v>1009</v>
      </c>
      <c r="O37" t="s">
        <v>344</v>
      </c>
      <c r="P37" t="s">
        <v>344</v>
      </c>
      <c r="Q37">
        <v>1</v>
      </c>
      <c r="X37">
        <v>0.03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6</v>
      </c>
      <c r="AG37">
        <v>0.03</v>
      </c>
      <c r="AH37">
        <v>2</v>
      </c>
      <c r="AI37">
        <v>41854056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ROW(Source!A237)</f>
        <v>237</v>
      </c>
      <c r="B38">
        <v>41854057</v>
      </c>
      <c r="C38">
        <v>41854047</v>
      </c>
      <c r="D38">
        <v>40676108</v>
      </c>
      <c r="E38">
        <v>108</v>
      </c>
      <c r="F38">
        <v>1</v>
      </c>
      <c r="G38">
        <v>1</v>
      </c>
      <c r="H38">
        <v>3</v>
      </c>
      <c r="I38" t="s">
        <v>28</v>
      </c>
      <c r="J38" t="s">
        <v>6</v>
      </c>
      <c r="K38" t="s">
        <v>29</v>
      </c>
      <c r="L38">
        <v>3277935</v>
      </c>
      <c r="N38">
        <v>1013</v>
      </c>
      <c r="O38" t="s">
        <v>30</v>
      </c>
      <c r="P38" t="s">
        <v>30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6</v>
      </c>
      <c r="AG38">
        <v>2</v>
      </c>
      <c r="AH38">
        <v>2</v>
      </c>
      <c r="AI38">
        <v>41854057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ROW(Source!A239)</f>
        <v>239</v>
      </c>
      <c r="B39">
        <v>41854060</v>
      </c>
      <c r="C39">
        <v>41854059</v>
      </c>
      <c r="D39">
        <v>40670197</v>
      </c>
      <c r="E39">
        <v>108</v>
      </c>
      <c r="F39">
        <v>1</v>
      </c>
      <c r="G39">
        <v>1</v>
      </c>
      <c r="H39">
        <v>1</v>
      </c>
      <c r="I39" t="s">
        <v>366</v>
      </c>
      <c r="J39" t="s">
        <v>6</v>
      </c>
      <c r="K39" t="s">
        <v>367</v>
      </c>
      <c r="L39">
        <v>1369</v>
      </c>
      <c r="N39">
        <v>1013</v>
      </c>
      <c r="O39" t="s">
        <v>368</v>
      </c>
      <c r="P39" t="s">
        <v>368</v>
      </c>
      <c r="Q39">
        <v>1</v>
      </c>
      <c r="X39">
        <v>16</v>
      </c>
      <c r="Y39">
        <v>0</v>
      </c>
      <c r="Z39">
        <v>0</v>
      </c>
      <c r="AA39">
        <v>0</v>
      </c>
      <c r="AB39">
        <v>486.33</v>
      </c>
      <c r="AC39">
        <v>0</v>
      </c>
      <c r="AD39">
        <v>1</v>
      </c>
      <c r="AE39">
        <v>1</v>
      </c>
      <c r="AF39" t="s">
        <v>6</v>
      </c>
      <c r="AG39">
        <v>16</v>
      </c>
      <c r="AH39">
        <v>2</v>
      </c>
      <c r="AI39">
        <v>41854060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ROW(Source!A239)</f>
        <v>239</v>
      </c>
      <c r="B40">
        <v>41854061</v>
      </c>
      <c r="C40">
        <v>41854059</v>
      </c>
      <c r="D40">
        <v>40670200</v>
      </c>
      <c r="E40">
        <v>108</v>
      </c>
      <c r="F40">
        <v>1</v>
      </c>
      <c r="G40">
        <v>1</v>
      </c>
      <c r="H40">
        <v>1</v>
      </c>
      <c r="I40" t="s">
        <v>369</v>
      </c>
      <c r="J40" t="s">
        <v>6</v>
      </c>
      <c r="K40" t="s">
        <v>370</v>
      </c>
      <c r="L40">
        <v>1369</v>
      </c>
      <c r="N40">
        <v>1013</v>
      </c>
      <c r="O40" t="s">
        <v>368</v>
      </c>
      <c r="P40" t="s">
        <v>368</v>
      </c>
      <c r="Q40">
        <v>1</v>
      </c>
      <c r="X40">
        <v>16</v>
      </c>
      <c r="Y40">
        <v>0</v>
      </c>
      <c r="Z40">
        <v>0</v>
      </c>
      <c r="AA40">
        <v>0</v>
      </c>
      <c r="AB40">
        <v>443.35</v>
      </c>
      <c r="AC40">
        <v>0</v>
      </c>
      <c r="AD40">
        <v>1</v>
      </c>
      <c r="AE40">
        <v>1</v>
      </c>
      <c r="AF40" t="s">
        <v>6</v>
      </c>
      <c r="AG40">
        <v>16</v>
      </c>
      <c r="AH40">
        <v>2</v>
      </c>
      <c r="AI40">
        <v>41854061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ROW(Source!A239)</f>
        <v>239</v>
      </c>
      <c r="B41">
        <v>41854062</v>
      </c>
      <c r="C41">
        <v>41854059</v>
      </c>
      <c r="D41">
        <v>40676108</v>
      </c>
      <c r="E41">
        <v>108</v>
      </c>
      <c r="F41">
        <v>1</v>
      </c>
      <c r="G41">
        <v>1</v>
      </c>
      <c r="H41">
        <v>3</v>
      </c>
      <c r="I41" t="s">
        <v>28</v>
      </c>
      <c r="J41" t="s">
        <v>6</v>
      </c>
      <c r="K41" t="s">
        <v>29</v>
      </c>
      <c r="L41">
        <v>3277935</v>
      </c>
      <c r="N41">
        <v>1013</v>
      </c>
      <c r="O41" t="s">
        <v>30</v>
      </c>
      <c r="P41" t="s">
        <v>30</v>
      </c>
      <c r="Q41">
        <v>1</v>
      </c>
      <c r="X41">
        <v>2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6</v>
      </c>
      <c r="AG41">
        <v>2</v>
      </c>
      <c r="AH41">
        <v>2</v>
      </c>
      <c r="AI41">
        <v>41854062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ROW(Source!A241)</f>
        <v>241</v>
      </c>
      <c r="B42">
        <v>41854065</v>
      </c>
      <c r="C42">
        <v>41854064</v>
      </c>
      <c r="D42">
        <v>40669982</v>
      </c>
      <c r="E42">
        <v>108</v>
      </c>
      <c r="F42">
        <v>1</v>
      </c>
      <c r="G42">
        <v>1</v>
      </c>
      <c r="H42">
        <v>1</v>
      </c>
      <c r="I42" t="s">
        <v>319</v>
      </c>
      <c r="J42" t="s">
        <v>6</v>
      </c>
      <c r="K42" t="s">
        <v>320</v>
      </c>
      <c r="L42">
        <v>1191</v>
      </c>
      <c r="N42">
        <v>1013</v>
      </c>
      <c r="O42" t="s">
        <v>321</v>
      </c>
      <c r="P42" t="s">
        <v>321</v>
      </c>
      <c r="Q42">
        <v>1</v>
      </c>
      <c r="X42">
        <v>0.7</v>
      </c>
      <c r="Y42">
        <v>0</v>
      </c>
      <c r="Z42">
        <v>0</v>
      </c>
      <c r="AA42">
        <v>0</v>
      </c>
      <c r="AB42">
        <v>312.16000000000003</v>
      </c>
      <c r="AC42">
        <v>0</v>
      </c>
      <c r="AD42">
        <v>1</v>
      </c>
      <c r="AE42">
        <v>1</v>
      </c>
      <c r="AF42" t="s">
        <v>6</v>
      </c>
      <c r="AG42">
        <v>0.7</v>
      </c>
      <c r="AH42">
        <v>2</v>
      </c>
      <c r="AI42">
        <v>41854065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ROW(Source!A241)</f>
        <v>241</v>
      </c>
      <c r="B43">
        <v>41854066</v>
      </c>
      <c r="C43">
        <v>41854064</v>
      </c>
      <c r="D43">
        <v>40670210</v>
      </c>
      <c r="E43">
        <v>108</v>
      </c>
      <c r="F43">
        <v>1</v>
      </c>
      <c r="G43">
        <v>1</v>
      </c>
      <c r="H43">
        <v>1</v>
      </c>
      <c r="I43" t="s">
        <v>322</v>
      </c>
      <c r="J43" t="s">
        <v>6</v>
      </c>
      <c r="K43" t="s">
        <v>323</v>
      </c>
      <c r="L43">
        <v>1191</v>
      </c>
      <c r="N43">
        <v>1013</v>
      </c>
      <c r="O43" t="s">
        <v>321</v>
      </c>
      <c r="P43" t="s">
        <v>321</v>
      </c>
      <c r="Q43">
        <v>1</v>
      </c>
      <c r="X43">
        <v>0.02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2</v>
      </c>
      <c r="AF43" t="s">
        <v>6</v>
      </c>
      <c r="AG43">
        <v>0.02</v>
      </c>
      <c r="AH43">
        <v>2</v>
      </c>
      <c r="AI43">
        <v>41854066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ROW(Source!A241)</f>
        <v>241</v>
      </c>
      <c r="B44">
        <v>41854067</v>
      </c>
      <c r="C44">
        <v>41854064</v>
      </c>
      <c r="D44">
        <v>40987978</v>
      </c>
      <c r="E44">
        <v>1</v>
      </c>
      <c r="F44">
        <v>1</v>
      </c>
      <c r="G44">
        <v>1</v>
      </c>
      <c r="H44">
        <v>2</v>
      </c>
      <c r="I44" t="s">
        <v>324</v>
      </c>
      <c r="J44" t="s">
        <v>325</v>
      </c>
      <c r="K44" t="s">
        <v>326</v>
      </c>
      <c r="L44">
        <v>1368</v>
      </c>
      <c r="N44">
        <v>1011</v>
      </c>
      <c r="O44" t="s">
        <v>327</v>
      </c>
      <c r="P44" t="s">
        <v>327</v>
      </c>
      <c r="Q44">
        <v>1</v>
      </c>
      <c r="X44">
        <v>0.01</v>
      </c>
      <c r="Y44">
        <v>0</v>
      </c>
      <c r="Z44">
        <v>1442.85</v>
      </c>
      <c r="AA44">
        <v>407.16</v>
      </c>
      <c r="AB44">
        <v>0</v>
      </c>
      <c r="AC44">
        <v>0</v>
      </c>
      <c r="AD44">
        <v>1</v>
      </c>
      <c r="AE44">
        <v>0</v>
      </c>
      <c r="AF44" t="s">
        <v>6</v>
      </c>
      <c r="AG44">
        <v>0.01</v>
      </c>
      <c r="AH44">
        <v>2</v>
      </c>
      <c r="AI44">
        <v>41854067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ROW(Source!A241)</f>
        <v>241</v>
      </c>
      <c r="B45">
        <v>41854068</v>
      </c>
      <c r="C45">
        <v>41854064</v>
      </c>
      <c r="D45">
        <v>40989217</v>
      </c>
      <c r="E45">
        <v>1</v>
      </c>
      <c r="F45">
        <v>1</v>
      </c>
      <c r="G45">
        <v>1</v>
      </c>
      <c r="H45">
        <v>2</v>
      </c>
      <c r="I45" t="s">
        <v>329</v>
      </c>
      <c r="J45" t="s">
        <v>330</v>
      </c>
      <c r="K45" t="s">
        <v>331</v>
      </c>
      <c r="L45">
        <v>1368</v>
      </c>
      <c r="N45">
        <v>1011</v>
      </c>
      <c r="O45" t="s">
        <v>327</v>
      </c>
      <c r="P45" t="s">
        <v>327</v>
      </c>
      <c r="Q45">
        <v>1</v>
      </c>
      <c r="X45">
        <v>0.01</v>
      </c>
      <c r="Y45">
        <v>0</v>
      </c>
      <c r="Z45">
        <v>557.94000000000005</v>
      </c>
      <c r="AA45">
        <v>303.11</v>
      </c>
      <c r="AB45">
        <v>0</v>
      </c>
      <c r="AC45">
        <v>0</v>
      </c>
      <c r="AD45">
        <v>1</v>
      </c>
      <c r="AE45">
        <v>0</v>
      </c>
      <c r="AF45" t="s">
        <v>6</v>
      </c>
      <c r="AG45">
        <v>0.01</v>
      </c>
      <c r="AH45">
        <v>2</v>
      </c>
      <c r="AI45">
        <v>41854068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ROW(Source!A241)</f>
        <v>241</v>
      </c>
      <c r="B46">
        <v>41854069</v>
      </c>
      <c r="C46">
        <v>41854064</v>
      </c>
      <c r="D46">
        <v>40996271</v>
      </c>
      <c r="E46">
        <v>1</v>
      </c>
      <c r="F46">
        <v>1</v>
      </c>
      <c r="G46">
        <v>1</v>
      </c>
      <c r="H46">
        <v>3</v>
      </c>
      <c r="I46" t="s">
        <v>333</v>
      </c>
      <c r="J46" t="s">
        <v>334</v>
      </c>
      <c r="K46" t="s">
        <v>335</v>
      </c>
      <c r="L46">
        <v>1348</v>
      </c>
      <c r="N46">
        <v>1009</v>
      </c>
      <c r="O46" t="s">
        <v>37</v>
      </c>
      <c r="P46" t="s">
        <v>37</v>
      </c>
      <c r="Q46">
        <v>1000</v>
      </c>
      <c r="X46">
        <v>3.0000000000000001E-5</v>
      </c>
      <c r="Y46">
        <v>127406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6</v>
      </c>
      <c r="AG46">
        <v>3.0000000000000001E-5</v>
      </c>
      <c r="AH46">
        <v>2</v>
      </c>
      <c r="AI46">
        <v>41854069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ROW(Source!A241)</f>
        <v>241</v>
      </c>
      <c r="B47">
        <v>41854070</v>
      </c>
      <c r="C47">
        <v>41854064</v>
      </c>
      <c r="D47">
        <v>40676108</v>
      </c>
      <c r="E47">
        <v>108</v>
      </c>
      <c r="F47">
        <v>1</v>
      </c>
      <c r="G47">
        <v>1</v>
      </c>
      <c r="H47">
        <v>3</v>
      </c>
      <c r="I47" t="s">
        <v>28</v>
      </c>
      <c r="J47" t="s">
        <v>6</v>
      </c>
      <c r="K47" t="s">
        <v>29</v>
      </c>
      <c r="L47">
        <v>3277935</v>
      </c>
      <c r="N47">
        <v>1013</v>
      </c>
      <c r="O47" t="s">
        <v>30</v>
      </c>
      <c r="P47" t="s">
        <v>30</v>
      </c>
      <c r="Q47">
        <v>1</v>
      </c>
      <c r="X47">
        <v>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6</v>
      </c>
      <c r="AG47">
        <v>2</v>
      </c>
      <c r="AH47">
        <v>2</v>
      </c>
      <c r="AI47">
        <v>41854070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ROW(Source!A243)</f>
        <v>243</v>
      </c>
      <c r="B48">
        <v>41854073</v>
      </c>
      <c r="C48">
        <v>41854072</v>
      </c>
      <c r="D48">
        <v>40669976</v>
      </c>
      <c r="E48">
        <v>108</v>
      </c>
      <c r="F48">
        <v>1</v>
      </c>
      <c r="G48">
        <v>1</v>
      </c>
      <c r="H48">
        <v>1</v>
      </c>
      <c r="I48" t="s">
        <v>336</v>
      </c>
      <c r="J48" t="s">
        <v>6</v>
      </c>
      <c r="K48" t="s">
        <v>337</v>
      </c>
      <c r="L48">
        <v>1191</v>
      </c>
      <c r="N48">
        <v>1013</v>
      </c>
      <c r="O48" t="s">
        <v>321</v>
      </c>
      <c r="P48" t="s">
        <v>321</v>
      </c>
      <c r="Q48">
        <v>1</v>
      </c>
      <c r="X48">
        <v>2.15</v>
      </c>
      <c r="Y48">
        <v>0</v>
      </c>
      <c r="Z48">
        <v>0</v>
      </c>
      <c r="AA48">
        <v>0</v>
      </c>
      <c r="AB48">
        <v>303.11</v>
      </c>
      <c r="AC48">
        <v>0</v>
      </c>
      <c r="AD48">
        <v>1</v>
      </c>
      <c r="AE48">
        <v>1</v>
      </c>
      <c r="AF48" t="s">
        <v>6</v>
      </c>
      <c r="AG48">
        <v>2.15</v>
      </c>
      <c r="AH48">
        <v>2</v>
      </c>
      <c r="AI48">
        <v>41854073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>
      <c r="A49">
        <f>ROW(Source!A243)</f>
        <v>243</v>
      </c>
      <c r="B49">
        <v>41854074</v>
      </c>
      <c r="C49">
        <v>41854072</v>
      </c>
      <c r="D49">
        <v>40670210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6</v>
      </c>
      <c r="K49" t="s">
        <v>323</v>
      </c>
      <c r="L49">
        <v>1191</v>
      </c>
      <c r="N49">
        <v>1013</v>
      </c>
      <c r="O49" t="s">
        <v>321</v>
      </c>
      <c r="P49" t="s">
        <v>321</v>
      </c>
      <c r="Q49">
        <v>1</v>
      </c>
      <c r="X49">
        <v>0.09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6</v>
      </c>
      <c r="AG49">
        <v>0.09</v>
      </c>
      <c r="AH49">
        <v>2</v>
      </c>
      <c r="AI49">
        <v>41854074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>
      <c r="A50">
        <f>ROW(Source!A243)</f>
        <v>243</v>
      </c>
      <c r="B50">
        <v>41854075</v>
      </c>
      <c r="C50">
        <v>41854072</v>
      </c>
      <c r="D50">
        <v>40987978</v>
      </c>
      <c r="E50">
        <v>1</v>
      </c>
      <c r="F50">
        <v>1</v>
      </c>
      <c r="G50">
        <v>1</v>
      </c>
      <c r="H50">
        <v>2</v>
      </c>
      <c r="I50" t="s">
        <v>324</v>
      </c>
      <c r="J50" t="s">
        <v>325</v>
      </c>
      <c r="K50" t="s">
        <v>326</v>
      </c>
      <c r="L50">
        <v>1368</v>
      </c>
      <c r="N50">
        <v>1011</v>
      </c>
      <c r="O50" t="s">
        <v>327</v>
      </c>
      <c r="P50" t="s">
        <v>327</v>
      </c>
      <c r="Q50">
        <v>1</v>
      </c>
      <c r="X50">
        <v>3.5000000000000003E-2</v>
      </c>
      <c r="Y50">
        <v>0</v>
      </c>
      <c r="Z50">
        <v>1442.85</v>
      </c>
      <c r="AA50">
        <v>407.16</v>
      </c>
      <c r="AB50">
        <v>0</v>
      </c>
      <c r="AC50">
        <v>0</v>
      </c>
      <c r="AD50">
        <v>1</v>
      </c>
      <c r="AE50">
        <v>0</v>
      </c>
      <c r="AF50" t="s">
        <v>6</v>
      </c>
      <c r="AG50">
        <v>3.5000000000000003E-2</v>
      </c>
      <c r="AH50">
        <v>2</v>
      </c>
      <c r="AI50">
        <v>41854075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>
      <c r="A51">
        <f>ROW(Source!A243)</f>
        <v>243</v>
      </c>
      <c r="B51">
        <v>41854076</v>
      </c>
      <c r="C51">
        <v>41854072</v>
      </c>
      <c r="D51">
        <v>40988168</v>
      </c>
      <c r="E51">
        <v>1</v>
      </c>
      <c r="F51">
        <v>1</v>
      </c>
      <c r="G51">
        <v>1</v>
      </c>
      <c r="H51">
        <v>2</v>
      </c>
      <c r="I51" t="s">
        <v>371</v>
      </c>
      <c r="J51" t="s">
        <v>372</v>
      </c>
      <c r="K51" t="s">
        <v>373</v>
      </c>
      <c r="L51">
        <v>1368</v>
      </c>
      <c r="N51">
        <v>1011</v>
      </c>
      <c r="O51" t="s">
        <v>327</v>
      </c>
      <c r="P51" t="s">
        <v>327</v>
      </c>
      <c r="Q51">
        <v>1</v>
      </c>
      <c r="X51">
        <v>0.02</v>
      </c>
      <c r="Y51">
        <v>0</v>
      </c>
      <c r="Z51">
        <v>55.78</v>
      </c>
      <c r="AA51">
        <v>269.18</v>
      </c>
      <c r="AB51">
        <v>0</v>
      </c>
      <c r="AC51">
        <v>0</v>
      </c>
      <c r="AD51">
        <v>1</v>
      </c>
      <c r="AE51">
        <v>0</v>
      </c>
      <c r="AF51" t="s">
        <v>6</v>
      </c>
      <c r="AG51">
        <v>0.02</v>
      </c>
      <c r="AH51">
        <v>2</v>
      </c>
      <c r="AI51">
        <v>41854076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>
      <c r="A52">
        <f>ROW(Source!A243)</f>
        <v>243</v>
      </c>
      <c r="B52">
        <v>41854077</v>
      </c>
      <c r="C52">
        <v>41854072</v>
      </c>
      <c r="D52">
        <v>40989217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1368</v>
      </c>
      <c r="N52">
        <v>1011</v>
      </c>
      <c r="O52" t="s">
        <v>327</v>
      </c>
      <c r="P52" t="s">
        <v>327</v>
      </c>
      <c r="Q52">
        <v>1</v>
      </c>
      <c r="X52">
        <v>3.5000000000000003E-2</v>
      </c>
      <c r="Y52">
        <v>0</v>
      </c>
      <c r="Z52">
        <v>557.94000000000005</v>
      </c>
      <c r="AA52">
        <v>303.11</v>
      </c>
      <c r="AB52">
        <v>0</v>
      </c>
      <c r="AC52">
        <v>0</v>
      </c>
      <c r="AD52">
        <v>1</v>
      </c>
      <c r="AE52">
        <v>0</v>
      </c>
      <c r="AF52" t="s">
        <v>6</v>
      </c>
      <c r="AG52">
        <v>3.5000000000000003E-2</v>
      </c>
      <c r="AH52">
        <v>2</v>
      </c>
      <c r="AI52">
        <v>41854077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>
      <c r="A53">
        <f>ROW(Source!A243)</f>
        <v>243</v>
      </c>
      <c r="B53">
        <v>41854078</v>
      </c>
      <c r="C53">
        <v>41854072</v>
      </c>
      <c r="D53">
        <v>40996264</v>
      </c>
      <c r="E53">
        <v>1</v>
      </c>
      <c r="F53">
        <v>1</v>
      </c>
      <c r="G53">
        <v>1</v>
      </c>
      <c r="H53">
        <v>3</v>
      </c>
      <c r="I53" t="s">
        <v>345</v>
      </c>
      <c r="J53" t="s">
        <v>346</v>
      </c>
      <c r="K53" t="s">
        <v>347</v>
      </c>
      <c r="L53">
        <v>1346</v>
      </c>
      <c r="N53">
        <v>1009</v>
      </c>
      <c r="O53" t="s">
        <v>344</v>
      </c>
      <c r="P53" t="s">
        <v>344</v>
      </c>
      <c r="Q53">
        <v>1</v>
      </c>
      <c r="X53">
        <v>0.39</v>
      </c>
      <c r="Y53">
        <v>174.93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6</v>
      </c>
      <c r="AG53">
        <v>0.39</v>
      </c>
      <c r="AH53">
        <v>2</v>
      </c>
      <c r="AI53">
        <v>41854078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>
      <c r="A54">
        <f>ROW(Source!A243)</f>
        <v>243</v>
      </c>
      <c r="B54">
        <v>41854079</v>
      </c>
      <c r="C54">
        <v>41854072</v>
      </c>
      <c r="D54">
        <v>41036706</v>
      </c>
      <c r="E54">
        <v>1</v>
      </c>
      <c r="F54">
        <v>1</v>
      </c>
      <c r="G54">
        <v>1</v>
      </c>
      <c r="H54">
        <v>3</v>
      </c>
      <c r="I54" t="s">
        <v>375</v>
      </c>
      <c r="J54" t="s">
        <v>376</v>
      </c>
      <c r="K54" t="s">
        <v>377</v>
      </c>
      <c r="L54">
        <v>1455</v>
      </c>
      <c r="N54">
        <v>1013</v>
      </c>
      <c r="O54" t="s">
        <v>378</v>
      </c>
      <c r="P54" t="s">
        <v>378</v>
      </c>
      <c r="Q54">
        <v>1</v>
      </c>
      <c r="X54">
        <v>0.1</v>
      </c>
      <c r="Y54">
        <v>944.69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6</v>
      </c>
      <c r="AG54">
        <v>0.1</v>
      </c>
      <c r="AH54">
        <v>2</v>
      </c>
      <c r="AI54">
        <v>41854079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>
      <c r="A55">
        <f>ROW(Source!A243)</f>
        <v>243</v>
      </c>
      <c r="B55">
        <v>41854080</v>
      </c>
      <c r="C55">
        <v>41854072</v>
      </c>
      <c r="D55">
        <v>40676108</v>
      </c>
      <c r="E55">
        <v>108</v>
      </c>
      <c r="F55">
        <v>1</v>
      </c>
      <c r="G55">
        <v>1</v>
      </c>
      <c r="H55">
        <v>3</v>
      </c>
      <c r="I55" t="s">
        <v>28</v>
      </c>
      <c r="J55" t="s">
        <v>6</v>
      </c>
      <c r="K55" t="s">
        <v>29</v>
      </c>
      <c r="L55">
        <v>3277935</v>
      </c>
      <c r="N55">
        <v>1013</v>
      </c>
      <c r="O55" t="s">
        <v>30</v>
      </c>
      <c r="P55" t="s">
        <v>30</v>
      </c>
      <c r="Q55">
        <v>1</v>
      </c>
      <c r="X55">
        <v>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 t="s">
        <v>6</v>
      </c>
      <c r="AG55">
        <v>2</v>
      </c>
      <c r="AH55">
        <v>2</v>
      </c>
      <c r="AI55">
        <v>41854080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>
      <c r="A56">
        <f>ROW(Source!A245)</f>
        <v>245</v>
      </c>
      <c r="B56">
        <v>41854083</v>
      </c>
      <c r="C56">
        <v>41854082</v>
      </c>
      <c r="D56">
        <v>40669968</v>
      </c>
      <c r="E56">
        <v>108</v>
      </c>
      <c r="F56">
        <v>1</v>
      </c>
      <c r="G56">
        <v>1</v>
      </c>
      <c r="H56">
        <v>1</v>
      </c>
      <c r="I56" t="s">
        <v>361</v>
      </c>
      <c r="J56" t="s">
        <v>6</v>
      </c>
      <c r="K56" t="s">
        <v>362</v>
      </c>
      <c r="L56">
        <v>1191</v>
      </c>
      <c r="N56">
        <v>1013</v>
      </c>
      <c r="O56" t="s">
        <v>321</v>
      </c>
      <c r="P56" t="s">
        <v>321</v>
      </c>
      <c r="Q56">
        <v>1</v>
      </c>
      <c r="X56">
        <v>4</v>
      </c>
      <c r="Y56">
        <v>0</v>
      </c>
      <c r="Z56">
        <v>0</v>
      </c>
      <c r="AA56">
        <v>0</v>
      </c>
      <c r="AB56">
        <v>296.32</v>
      </c>
      <c r="AC56">
        <v>0</v>
      </c>
      <c r="AD56">
        <v>1</v>
      </c>
      <c r="AE56">
        <v>1</v>
      </c>
      <c r="AF56" t="s">
        <v>6</v>
      </c>
      <c r="AG56">
        <v>4</v>
      </c>
      <c r="AH56">
        <v>2</v>
      </c>
      <c r="AI56">
        <v>41854083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>
      <c r="A57">
        <f>ROW(Source!A245)</f>
        <v>245</v>
      </c>
      <c r="B57">
        <v>41854084</v>
      </c>
      <c r="C57">
        <v>41854082</v>
      </c>
      <c r="D57">
        <v>40670210</v>
      </c>
      <c r="E57">
        <v>108</v>
      </c>
      <c r="F57">
        <v>1</v>
      </c>
      <c r="G57">
        <v>1</v>
      </c>
      <c r="H57">
        <v>1</v>
      </c>
      <c r="I57" t="s">
        <v>322</v>
      </c>
      <c r="J57" t="s">
        <v>6</v>
      </c>
      <c r="K57" t="s">
        <v>323</v>
      </c>
      <c r="L57">
        <v>1191</v>
      </c>
      <c r="N57">
        <v>1013</v>
      </c>
      <c r="O57" t="s">
        <v>321</v>
      </c>
      <c r="P57" t="s">
        <v>321</v>
      </c>
      <c r="Q57">
        <v>1</v>
      </c>
      <c r="X57">
        <v>0.02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2</v>
      </c>
      <c r="AF57" t="s">
        <v>6</v>
      </c>
      <c r="AG57">
        <v>0.02</v>
      </c>
      <c r="AH57">
        <v>2</v>
      </c>
      <c r="AI57">
        <v>41854084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>
      <c r="A58">
        <f>ROW(Source!A245)</f>
        <v>245</v>
      </c>
      <c r="B58">
        <v>41854085</v>
      </c>
      <c r="C58">
        <v>41854082</v>
      </c>
      <c r="D58">
        <v>40987978</v>
      </c>
      <c r="E58">
        <v>1</v>
      </c>
      <c r="F58">
        <v>1</v>
      </c>
      <c r="G58">
        <v>1</v>
      </c>
      <c r="H58">
        <v>2</v>
      </c>
      <c r="I58" t="s">
        <v>324</v>
      </c>
      <c r="J58" t="s">
        <v>325</v>
      </c>
      <c r="K58" t="s">
        <v>326</v>
      </c>
      <c r="L58">
        <v>1368</v>
      </c>
      <c r="N58">
        <v>1011</v>
      </c>
      <c r="O58" t="s">
        <v>327</v>
      </c>
      <c r="P58" t="s">
        <v>327</v>
      </c>
      <c r="Q58">
        <v>1</v>
      </c>
      <c r="X58">
        <v>0.01</v>
      </c>
      <c r="Y58">
        <v>0</v>
      </c>
      <c r="Z58">
        <v>1442.85</v>
      </c>
      <c r="AA58">
        <v>407.16</v>
      </c>
      <c r="AB58">
        <v>0</v>
      </c>
      <c r="AC58">
        <v>0</v>
      </c>
      <c r="AD58">
        <v>1</v>
      </c>
      <c r="AE58">
        <v>0</v>
      </c>
      <c r="AF58" t="s">
        <v>6</v>
      </c>
      <c r="AG58">
        <v>0.01</v>
      </c>
      <c r="AH58">
        <v>2</v>
      </c>
      <c r="AI58">
        <v>41854085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>
      <c r="A59">
        <f>ROW(Source!A245)</f>
        <v>245</v>
      </c>
      <c r="B59">
        <v>41854086</v>
      </c>
      <c r="C59">
        <v>41854082</v>
      </c>
      <c r="D59">
        <v>40989217</v>
      </c>
      <c r="E59">
        <v>1</v>
      </c>
      <c r="F59">
        <v>1</v>
      </c>
      <c r="G59">
        <v>1</v>
      </c>
      <c r="H59">
        <v>2</v>
      </c>
      <c r="I59" t="s">
        <v>329</v>
      </c>
      <c r="J59" t="s">
        <v>330</v>
      </c>
      <c r="K59" t="s">
        <v>331</v>
      </c>
      <c r="L59">
        <v>1368</v>
      </c>
      <c r="N59">
        <v>1011</v>
      </c>
      <c r="O59" t="s">
        <v>327</v>
      </c>
      <c r="P59" t="s">
        <v>327</v>
      </c>
      <c r="Q59">
        <v>1</v>
      </c>
      <c r="X59">
        <v>0.01</v>
      </c>
      <c r="Y59">
        <v>0</v>
      </c>
      <c r="Z59">
        <v>557.94000000000005</v>
      </c>
      <c r="AA59">
        <v>303.11</v>
      </c>
      <c r="AB59">
        <v>0</v>
      </c>
      <c r="AC59">
        <v>0</v>
      </c>
      <c r="AD59">
        <v>1</v>
      </c>
      <c r="AE59">
        <v>0</v>
      </c>
      <c r="AF59" t="s">
        <v>6</v>
      </c>
      <c r="AG59">
        <v>0.01</v>
      </c>
      <c r="AH59">
        <v>2</v>
      </c>
      <c r="AI59">
        <v>41854086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>
      <c r="A60">
        <f>ROW(Source!A245)</f>
        <v>245</v>
      </c>
      <c r="B60">
        <v>41854087</v>
      </c>
      <c r="C60">
        <v>41854082</v>
      </c>
      <c r="D60">
        <v>40989496</v>
      </c>
      <c r="E60">
        <v>1</v>
      </c>
      <c r="F60">
        <v>1</v>
      </c>
      <c r="G60">
        <v>1</v>
      </c>
      <c r="H60">
        <v>2</v>
      </c>
      <c r="I60" t="s">
        <v>338</v>
      </c>
      <c r="J60" t="s">
        <v>339</v>
      </c>
      <c r="K60" t="s">
        <v>340</v>
      </c>
      <c r="L60">
        <v>1368</v>
      </c>
      <c r="N60">
        <v>1011</v>
      </c>
      <c r="O60" t="s">
        <v>327</v>
      </c>
      <c r="P60" t="s">
        <v>327</v>
      </c>
      <c r="Q60">
        <v>1</v>
      </c>
      <c r="X60">
        <v>0.28000000000000003</v>
      </c>
      <c r="Y60">
        <v>0</v>
      </c>
      <c r="Z60">
        <v>17.78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0.28000000000000003</v>
      </c>
      <c r="AH60">
        <v>2</v>
      </c>
      <c r="AI60">
        <v>41854087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>
      <c r="A61">
        <f>ROW(Source!A245)</f>
        <v>245</v>
      </c>
      <c r="B61">
        <v>41854088</v>
      </c>
      <c r="C61">
        <v>41854082</v>
      </c>
      <c r="D61">
        <v>40990041</v>
      </c>
      <c r="E61">
        <v>1</v>
      </c>
      <c r="F61">
        <v>1</v>
      </c>
      <c r="G61">
        <v>1</v>
      </c>
      <c r="H61">
        <v>2</v>
      </c>
      <c r="I61" t="s">
        <v>379</v>
      </c>
      <c r="J61" t="s">
        <v>380</v>
      </c>
      <c r="K61" t="s">
        <v>381</v>
      </c>
      <c r="L61">
        <v>1368</v>
      </c>
      <c r="N61">
        <v>1011</v>
      </c>
      <c r="O61" t="s">
        <v>327</v>
      </c>
      <c r="P61" t="s">
        <v>327</v>
      </c>
      <c r="Q61">
        <v>1</v>
      </c>
      <c r="X61">
        <v>0.29799999999999999</v>
      </c>
      <c r="Y61">
        <v>0</v>
      </c>
      <c r="Z61">
        <v>17.78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6</v>
      </c>
      <c r="AG61">
        <v>0.29799999999999999</v>
      </c>
      <c r="AH61">
        <v>2</v>
      </c>
      <c r="AI61">
        <v>41854088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>
      <c r="A62">
        <f>ROW(Source!A245)</f>
        <v>245</v>
      </c>
      <c r="B62">
        <v>41854089</v>
      </c>
      <c r="C62">
        <v>41854082</v>
      </c>
      <c r="D62">
        <v>40990936</v>
      </c>
      <c r="E62">
        <v>1</v>
      </c>
      <c r="F62">
        <v>1</v>
      </c>
      <c r="G62">
        <v>1</v>
      </c>
      <c r="H62">
        <v>3</v>
      </c>
      <c r="I62" t="s">
        <v>382</v>
      </c>
      <c r="J62" t="s">
        <v>383</v>
      </c>
      <c r="K62" t="s">
        <v>384</v>
      </c>
      <c r="L62">
        <v>1346</v>
      </c>
      <c r="N62">
        <v>1009</v>
      </c>
      <c r="O62" t="s">
        <v>344</v>
      </c>
      <c r="P62" t="s">
        <v>344</v>
      </c>
      <c r="Q62">
        <v>1</v>
      </c>
      <c r="X62">
        <v>1.2E-2</v>
      </c>
      <c r="Y62">
        <v>150.04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6</v>
      </c>
      <c r="AG62">
        <v>1.2E-2</v>
      </c>
      <c r="AH62">
        <v>2</v>
      </c>
      <c r="AI62">
        <v>41854089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>
      <c r="A63">
        <f>ROW(Source!A245)</f>
        <v>245</v>
      </c>
      <c r="B63">
        <v>41854090</v>
      </c>
      <c r="C63">
        <v>41854082</v>
      </c>
      <c r="D63">
        <v>40993947</v>
      </c>
      <c r="E63">
        <v>1</v>
      </c>
      <c r="F63">
        <v>1</v>
      </c>
      <c r="G63">
        <v>1</v>
      </c>
      <c r="H63">
        <v>3</v>
      </c>
      <c r="I63" t="s">
        <v>385</v>
      </c>
      <c r="J63" t="s">
        <v>386</v>
      </c>
      <c r="K63" t="s">
        <v>387</v>
      </c>
      <c r="L63">
        <v>1346</v>
      </c>
      <c r="N63">
        <v>1009</v>
      </c>
      <c r="O63" t="s">
        <v>344</v>
      </c>
      <c r="P63" t="s">
        <v>344</v>
      </c>
      <c r="Q63">
        <v>1</v>
      </c>
      <c r="X63">
        <v>5.0000000000000001E-3</v>
      </c>
      <c r="Y63">
        <v>187.38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6</v>
      </c>
      <c r="AG63">
        <v>5.0000000000000001E-3</v>
      </c>
      <c r="AH63">
        <v>2</v>
      </c>
      <c r="AI63">
        <v>41854090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>
      <c r="A64">
        <f>ROW(Source!A245)</f>
        <v>245</v>
      </c>
      <c r="B64">
        <v>41854091</v>
      </c>
      <c r="C64">
        <v>41854082</v>
      </c>
      <c r="D64">
        <v>40993972</v>
      </c>
      <c r="E64">
        <v>1</v>
      </c>
      <c r="F64">
        <v>1</v>
      </c>
      <c r="G64">
        <v>1</v>
      </c>
      <c r="H64">
        <v>3</v>
      </c>
      <c r="I64" t="s">
        <v>388</v>
      </c>
      <c r="J64" t="s">
        <v>389</v>
      </c>
      <c r="K64" t="s">
        <v>390</v>
      </c>
      <c r="L64">
        <v>1383</v>
      </c>
      <c r="N64">
        <v>1013</v>
      </c>
      <c r="O64" t="s">
        <v>391</v>
      </c>
      <c r="P64" t="s">
        <v>391</v>
      </c>
      <c r="Q64">
        <v>1</v>
      </c>
      <c r="X64">
        <v>2.0799999999999999E-2</v>
      </c>
      <c r="Y64">
        <v>6.45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6</v>
      </c>
      <c r="AG64">
        <v>2.0799999999999999E-2</v>
      </c>
      <c r="AH64">
        <v>2</v>
      </c>
      <c r="AI64">
        <v>41854091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>
      <c r="A65">
        <f>ROW(Source!A245)</f>
        <v>245</v>
      </c>
      <c r="B65">
        <v>41854092</v>
      </c>
      <c r="C65">
        <v>41854082</v>
      </c>
      <c r="D65">
        <v>40994260</v>
      </c>
      <c r="E65">
        <v>1</v>
      </c>
      <c r="F65">
        <v>1</v>
      </c>
      <c r="G65">
        <v>1</v>
      </c>
      <c r="H65">
        <v>3</v>
      </c>
      <c r="I65" t="s">
        <v>392</v>
      </c>
      <c r="J65" t="s">
        <v>393</v>
      </c>
      <c r="K65" t="s">
        <v>394</v>
      </c>
      <c r="L65">
        <v>1301</v>
      </c>
      <c r="N65">
        <v>1003</v>
      </c>
      <c r="O65" t="s">
        <v>135</v>
      </c>
      <c r="P65" t="s">
        <v>135</v>
      </c>
      <c r="Q65">
        <v>1</v>
      </c>
      <c r="X65">
        <v>4</v>
      </c>
      <c r="Y65">
        <v>5.87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6</v>
      </c>
      <c r="AG65">
        <v>4</v>
      </c>
      <c r="AH65">
        <v>2</v>
      </c>
      <c r="AI65">
        <v>41854092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>
      <c r="A66">
        <f>ROW(Source!A245)</f>
        <v>245</v>
      </c>
      <c r="B66">
        <v>41854093</v>
      </c>
      <c r="C66">
        <v>41854082</v>
      </c>
      <c r="D66">
        <v>40995195</v>
      </c>
      <c r="E66">
        <v>1</v>
      </c>
      <c r="F66">
        <v>1</v>
      </c>
      <c r="G66">
        <v>1</v>
      </c>
      <c r="H66">
        <v>3</v>
      </c>
      <c r="I66" t="s">
        <v>341</v>
      </c>
      <c r="J66" t="s">
        <v>342</v>
      </c>
      <c r="K66" t="s">
        <v>343</v>
      </c>
      <c r="L66">
        <v>1346</v>
      </c>
      <c r="N66">
        <v>1009</v>
      </c>
      <c r="O66" t="s">
        <v>344</v>
      </c>
      <c r="P66" t="s">
        <v>344</v>
      </c>
      <c r="Q66">
        <v>1</v>
      </c>
      <c r="X66">
        <v>7.0000000000000007E-2</v>
      </c>
      <c r="Y66">
        <v>155.63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6</v>
      </c>
      <c r="AG66">
        <v>7.0000000000000007E-2</v>
      </c>
      <c r="AH66">
        <v>2</v>
      </c>
      <c r="AI66">
        <v>41854093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>
      <c r="A67">
        <f>ROW(Source!A245)</f>
        <v>245</v>
      </c>
      <c r="B67">
        <v>41854094</v>
      </c>
      <c r="C67">
        <v>41854082</v>
      </c>
      <c r="D67">
        <v>40996264</v>
      </c>
      <c r="E67">
        <v>1</v>
      </c>
      <c r="F67">
        <v>1</v>
      </c>
      <c r="G67">
        <v>1</v>
      </c>
      <c r="H67">
        <v>3</v>
      </c>
      <c r="I67" t="s">
        <v>345</v>
      </c>
      <c r="J67" t="s">
        <v>346</v>
      </c>
      <c r="K67" t="s">
        <v>347</v>
      </c>
      <c r="L67">
        <v>1346</v>
      </c>
      <c r="N67">
        <v>1009</v>
      </c>
      <c r="O67" t="s">
        <v>344</v>
      </c>
      <c r="P67" t="s">
        <v>344</v>
      </c>
      <c r="Q67">
        <v>1</v>
      </c>
      <c r="X67">
        <v>0.40100000000000002</v>
      </c>
      <c r="Y67">
        <v>174.93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6</v>
      </c>
      <c r="AG67">
        <v>0.40100000000000002</v>
      </c>
      <c r="AH67">
        <v>2</v>
      </c>
      <c r="AI67">
        <v>41854094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>
      <c r="A68">
        <f>ROW(Source!A245)</f>
        <v>245</v>
      </c>
      <c r="B68">
        <v>41854095</v>
      </c>
      <c r="C68">
        <v>41854082</v>
      </c>
      <c r="D68">
        <v>40996385</v>
      </c>
      <c r="E68">
        <v>1</v>
      </c>
      <c r="F68">
        <v>1</v>
      </c>
      <c r="G68">
        <v>1</v>
      </c>
      <c r="H68">
        <v>3</v>
      </c>
      <c r="I68" t="s">
        <v>395</v>
      </c>
      <c r="J68" t="s">
        <v>396</v>
      </c>
      <c r="K68" t="s">
        <v>397</v>
      </c>
      <c r="L68">
        <v>1425</v>
      </c>
      <c r="N68">
        <v>1013</v>
      </c>
      <c r="O68" t="s">
        <v>44</v>
      </c>
      <c r="P68" t="s">
        <v>44</v>
      </c>
      <c r="Q68">
        <v>1</v>
      </c>
      <c r="X68">
        <v>1.4E-2</v>
      </c>
      <c r="Y68">
        <v>41.71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6</v>
      </c>
      <c r="AG68">
        <v>1.4E-2</v>
      </c>
      <c r="AH68">
        <v>2</v>
      </c>
      <c r="AI68">
        <v>41854095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>
      <c r="A69">
        <f>ROW(Source!A245)</f>
        <v>245</v>
      </c>
      <c r="B69">
        <v>41854096</v>
      </c>
      <c r="C69">
        <v>41854082</v>
      </c>
      <c r="D69">
        <v>40998128</v>
      </c>
      <c r="E69">
        <v>1</v>
      </c>
      <c r="F69">
        <v>1</v>
      </c>
      <c r="G69">
        <v>1</v>
      </c>
      <c r="H69">
        <v>3</v>
      </c>
      <c r="I69" t="s">
        <v>398</v>
      </c>
      <c r="J69" t="s">
        <v>399</v>
      </c>
      <c r="K69" t="s">
        <v>400</v>
      </c>
      <c r="L69">
        <v>1346</v>
      </c>
      <c r="N69">
        <v>1009</v>
      </c>
      <c r="O69" t="s">
        <v>344</v>
      </c>
      <c r="P69" t="s">
        <v>344</v>
      </c>
      <c r="Q69">
        <v>1</v>
      </c>
      <c r="X69">
        <v>4.0000000000000001E-3</v>
      </c>
      <c r="Y69">
        <v>395.65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6</v>
      </c>
      <c r="AG69">
        <v>4.0000000000000001E-3</v>
      </c>
      <c r="AH69">
        <v>2</v>
      </c>
      <c r="AI69">
        <v>41854096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>
      <c r="A70">
        <f>ROW(Source!A245)</f>
        <v>245</v>
      </c>
      <c r="B70">
        <v>41854097</v>
      </c>
      <c r="C70">
        <v>41854082</v>
      </c>
      <c r="D70">
        <v>41004163</v>
      </c>
      <c r="E70">
        <v>1</v>
      </c>
      <c r="F70">
        <v>1</v>
      </c>
      <c r="G70">
        <v>1</v>
      </c>
      <c r="H70">
        <v>3</v>
      </c>
      <c r="I70" t="s">
        <v>358</v>
      </c>
      <c r="J70" t="s">
        <v>359</v>
      </c>
      <c r="K70" t="s">
        <v>360</v>
      </c>
      <c r="L70">
        <v>1348</v>
      </c>
      <c r="N70">
        <v>1009</v>
      </c>
      <c r="O70" t="s">
        <v>37</v>
      </c>
      <c r="P70" t="s">
        <v>37</v>
      </c>
      <c r="Q70">
        <v>1000</v>
      </c>
      <c r="X70">
        <v>5.0000000000000001E-3</v>
      </c>
      <c r="Y70">
        <v>105278.81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6</v>
      </c>
      <c r="AG70">
        <v>5.0000000000000001E-3</v>
      </c>
      <c r="AH70">
        <v>2</v>
      </c>
      <c r="AI70">
        <v>41854097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>
      <c r="A71">
        <f>ROW(Source!A245)</f>
        <v>245</v>
      </c>
      <c r="B71">
        <v>41854098</v>
      </c>
      <c r="C71">
        <v>41854082</v>
      </c>
      <c r="D71">
        <v>41024880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1346</v>
      </c>
      <c r="N71">
        <v>1009</v>
      </c>
      <c r="O71" t="s">
        <v>344</v>
      </c>
      <c r="P71" t="s">
        <v>344</v>
      </c>
      <c r="Q71">
        <v>1</v>
      </c>
      <c r="X71">
        <v>5.3999999999999999E-2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6</v>
      </c>
      <c r="AG71">
        <v>5.3999999999999999E-2</v>
      </c>
      <c r="AH71">
        <v>2</v>
      </c>
      <c r="AI71">
        <v>41854098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>
      <c r="A72">
        <f>ROW(Source!A245)</f>
        <v>245</v>
      </c>
      <c r="B72">
        <v>41854099</v>
      </c>
      <c r="C72">
        <v>41854082</v>
      </c>
      <c r="D72">
        <v>41024940</v>
      </c>
      <c r="E72">
        <v>1</v>
      </c>
      <c r="F72">
        <v>1</v>
      </c>
      <c r="G72">
        <v>1</v>
      </c>
      <c r="H72">
        <v>3</v>
      </c>
      <c r="I72" t="s">
        <v>401</v>
      </c>
      <c r="J72" t="s">
        <v>402</v>
      </c>
      <c r="K72" t="s">
        <v>403</v>
      </c>
      <c r="L72">
        <v>1346</v>
      </c>
      <c r="N72">
        <v>1009</v>
      </c>
      <c r="O72" t="s">
        <v>344</v>
      </c>
      <c r="P72" t="s">
        <v>344</v>
      </c>
      <c r="Q72">
        <v>1</v>
      </c>
      <c r="X72">
        <v>1.2E-2</v>
      </c>
      <c r="Y72">
        <v>135.32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6</v>
      </c>
      <c r="AG72">
        <v>1.2E-2</v>
      </c>
      <c r="AH72">
        <v>2</v>
      </c>
      <c r="AI72">
        <v>41854099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>
      <c r="A73">
        <f>ROW(Source!A245)</f>
        <v>245</v>
      </c>
      <c r="B73">
        <v>41854100</v>
      </c>
      <c r="C73">
        <v>41854082</v>
      </c>
      <c r="D73">
        <v>41036706</v>
      </c>
      <c r="E73">
        <v>1</v>
      </c>
      <c r="F73">
        <v>1</v>
      </c>
      <c r="G73">
        <v>1</v>
      </c>
      <c r="H73">
        <v>3</v>
      </c>
      <c r="I73" t="s">
        <v>375</v>
      </c>
      <c r="J73" t="s">
        <v>376</v>
      </c>
      <c r="K73" t="s">
        <v>377</v>
      </c>
      <c r="L73">
        <v>1455</v>
      </c>
      <c r="N73">
        <v>1013</v>
      </c>
      <c r="O73" t="s">
        <v>378</v>
      </c>
      <c r="P73" t="s">
        <v>378</v>
      </c>
      <c r="Q73">
        <v>1</v>
      </c>
      <c r="X73">
        <v>0.1</v>
      </c>
      <c r="Y73">
        <v>944.69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6</v>
      </c>
      <c r="AG73">
        <v>0.1</v>
      </c>
      <c r="AH73">
        <v>2</v>
      </c>
      <c r="AI73">
        <v>41854100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>
      <c r="A74">
        <f>ROW(Source!A245)</f>
        <v>245</v>
      </c>
      <c r="B74">
        <v>41854101</v>
      </c>
      <c r="C74">
        <v>41854082</v>
      </c>
      <c r="D74">
        <v>40676108</v>
      </c>
      <c r="E74">
        <v>108</v>
      </c>
      <c r="F74">
        <v>1</v>
      </c>
      <c r="G74">
        <v>1</v>
      </c>
      <c r="H74">
        <v>3</v>
      </c>
      <c r="I74" t="s">
        <v>28</v>
      </c>
      <c r="J74" t="s">
        <v>6</v>
      </c>
      <c r="K74" t="s">
        <v>29</v>
      </c>
      <c r="L74">
        <v>3277935</v>
      </c>
      <c r="N74">
        <v>1013</v>
      </c>
      <c r="O74" t="s">
        <v>30</v>
      </c>
      <c r="P74" t="s">
        <v>30</v>
      </c>
      <c r="Q74">
        <v>1</v>
      </c>
      <c r="X74">
        <v>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6</v>
      </c>
      <c r="AG74">
        <v>2</v>
      </c>
      <c r="AH74">
        <v>2</v>
      </c>
      <c r="AI74">
        <v>41854101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>
      <c r="A75">
        <f>ROW(Source!A247)</f>
        <v>247</v>
      </c>
      <c r="B75">
        <v>41854104</v>
      </c>
      <c r="C75">
        <v>41854103</v>
      </c>
      <c r="D75">
        <v>40669973</v>
      </c>
      <c r="E75">
        <v>108</v>
      </c>
      <c r="F75">
        <v>1</v>
      </c>
      <c r="G75">
        <v>1</v>
      </c>
      <c r="H75">
        <v>1</v>
      </c>
      <c r="I75" t="s">
        <v>404</v>
      </c>
      <c r="J75" t="s">
        <v>6</v>
      </c>
      <c r="K75" t="s">
        <v>405</v>
      </c>
      <c r="L75">
        <v>1191</v>
      </c>
      <c r="N75">
        <v>1013</v>
      </c>
      <c r="O75" t="s">
        <v>321</v>
      </c>
      <c r="P75" t="s">
        <v>321</v>
      </c>
      <c r="Q75">
        <v>1</v>
      </c>
      <c r="X75">
        <v>1.34</v>
      </c>
      <c r="Y75">
        <v>0</v>
      </c>
      <c r="Z75">
        <v>0</v>
      </c>
      <c r="AA75">
        <v>0</v>
      </c>
      <c r="AB75">
        <v>299.72000000000003</v>
      </c>
      <c r="AC75">
        <v>0</v>
      </c>
      <c r="AD75">
        <v>1</v>
      </c>
      <c r="AE75">
        <v>1</v>
      </c>
      <c r="AF75" t="s">
        <v>6</v>
      </c>
      <c r="AG75">
        <v>1.34</v>
      </c>
      <c r="AH75">
        <v>2</v>
      </c>
      <c r="AI75">
        <v>41854104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>
      <c r="A76">
        <f>ROW(Source!A247)</f>
        <v>247</v>
      </c>
      <c r="B76">
        <v>41854105</v>
      </c>
      <c r="C76">
        <v>41854103</v>
      </c>
      <c r="D76">
        <v>40989496</v>
      </c>
      <c r="E76">
        <v>1</v>
      </c>
      <c r="F76">
        <v>1</v>
      </c>
      <c r="G76">
        <v>1</v>
      </c>
      <c r="H76">
        <v>2</v>
      </c>
      <c r="I76" t="s">
        <v>338</v>
      </c>
      <c r="J76" t="s">
        <v>339</v>
      </c>
      <c r="K76" t="s">
        <v>340</v>
      </c>
      <c r="L76">
        <v>1368</v>
      </c>
      <c r="N76">
        <v>1011</v>
      </c>
      <c r="O76" t="s">
        <v>327</v>
      </c>
      <c r="P76" t="s">
        <v>327</v>
      </c>
      <c r="Q76">
        <v>1</v>
      </c>
      <c r="X76">
        <v>0.108</v>
      </c>
      <c r="Y76">
        <v>0</v>
      </c>
      <c r="Z76">
        <v>17.78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6</v>
      </c>
      <c r="AG76">
        <v>0.108</v>
      </c>
      <c r="AH76">
        <v>2</v>
      </c>
      <c r="AI76">
        <v>41854105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>
      <c r="A77">
        <f>ROW(Source!A247)</f>
        <v>247</v>
      </c>
      <c r="B77">
        <v>41854106</v>
      </c>
      <c r="C77">
        <v>41854103</v>
      </c>
      <c r="D77">
        <v>40990936</v>
      </c>
      <c r="E77">
        <v>1</v>
      </c>
      <c r="F77">
        <v>1</v>
      </c>
      <c r="G77">
        <v>1</v>
      </c>
      <c r="H77">
        <v>3</v>
      </c>
      <c r="I77" t="s">
        <v>382</v>
      </c>
      <c r="J77" t="s">
        <v>383</v>
      </c>
      <c r="K77" t="s">
        <v>384</v>
      </c>
      <c r="L77">
        <v>1346</v>
      </c>
      <c r="N77">
        <v>1009</v>
      </c>
      <c r="O77" t="s">
        <v>344</v>
      </c>
      <c r="P77" t="s">
        <v>344</v>
      </c>
      <c r="Q77">
        <v>1</v>
      </c>
      <c r="X77">
        <v>6.0000000000000001E-3</v>
      </c>
      <c r="Y77">
        <v>150.04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6</v>
      </c>
      <c r="AG77">
        <v>6.0000000000000001E-3</v>
      </c>
      <c r="AH77">
        <v>2</v>
      </c>
      <c r="AI77">
        <v>41854106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>
      <c r="A78">
        <f>ROW(Source!A247)</f>
        <v>247</v>
      </c>
      <c r="B78">
        <v>41854107</v>
      </c>
      <c r="C78">
        <v>41854103</v>
      </c>
      <c r="D78">
        <v>40993947</v>
      </c>
      <c r="E78">
        <v>1</v>
      </c>
      <c r="F78">
        <v>1</v>
      </c>
      <c r="G78">
        <v>1</v>
      </c>
      <c r="H78">
        <v>3</v>
      </c>
      <c r="I78" t="s">
        <v>385</v>
      </c>
      <c r="J78" t="s">
        <v>386</v>
      </c>
      <c r="K78" t="s">
        <v>387</v>
      </c>
      <c r="L78">
        <v>1346</v>
      </c>
      <c r="N78">
        <v>1009</v>
      </c>
      <c r="O78" t="s">
        <v>344</v>
      </c>
      <c r="P78" t="s">
        <v>344</v>
      </c>
      <c r="Q78">
        <v>1</v>
      </c>
      <c r="X78">
        <v>1E-3</v>
      </c>
      <c r="Y78">
        <v>187.38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6</v>
      </c>
      <c r="AG78">
        <v>1E-3</v>
      </c>
      <c r="AH78">
        <v>2</v>
      </c>
      <c r="AI78">
        <v>41854107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>
      <c r="A79">
        <f>ROW(Source!A247)</f>
        <v>247</v>
      </c>
      <c r="B79">
        <v>41854108</v>
      </c>
      <c r="C79">
        <v>41854103</v>
      </c>
      <c r="D79">
        <v>40993972</v>
      </c>
      <c r="E79">
        <v>1</v>
      </c>
      <c r="F79">
        <v>1</v>
      </c>
      <c r="G79">
        <v>1</v>
      </c>
      <c r="H79">
        <v>3</v>
      </c>
      <c r="I79" t="s">
        <v>388</v>
      </c>
      <c r="J79" t="s">
        <v>389</v>
      </c>
      <c r="K79" t="s">
        <v>390</v>
      </c>
      <c r="L79">
        <v>1383</v>
      </c>
      <c r="N79">
        <v>1013</v>
      </c>
      <c r="O79" t="s">
        <v>391</v>
      </c>
      <c r="P79" t="s">
        <v>391</v>
      </c>
      <c r="Q79">
        <v>1</v>
      </c>
      <c r="X79">
        <v>2.0799999999999999E-2</v>
      </c>
      <c r="Y79">
        <v>6.45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6</v>
      </c>
      <c r="AG79">
        <v>2.0799999999999999E-2</v>
      </c>
      <c r="AH79">
        <v>2</v>
      </c>
      <c r="AI79">
        <v>41854108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>
      <c r="A80">
        <f>ROW(Source!A247)</f>
        <v>247</v>
      </c>
      <c r="B80">
        <v>41854109</v>
      </c>
      <c r="C80">
        <v>41854103</v>
      </c>
      <c r="D80">
        <v>40994260</v>
      </c>
      <c r="E80">
        <v>1</v>
      </c>
      <c r="F80">
        <v>1</v>
      </c>
      <c r="G80">
        <v>1</v>
      </c>
      <c r="H80">
        <v>3</v>
      </c>
      <c r="I80" t="s">
        <v>392</v>
      </c>
      <c r="J80" t="s">
        <v>393</v>
      </c>
      <c r="K80" t="s">
        <v>394</v>
      </c>
      <c r="L80">
        <v>1301</v>
      </c>
      <c r="N80">
        <v>1003</v>
      </c>
      <c r="O80" t="s">
        <v>135</v>
      </c>
      <c r="P80" t="s">
        <v>135</v>
      </c>
      <c r="Q80">
        <v>1</v>
      </c>
      <c r="X80">
        <v>1</v>
      </c>
      <c r="Y80">
        <v>5.87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1</v>
      </c>
      <c r="AH80">
        <v>2</v>
      </c>
      <c r="AI80">
        <v>41854109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>
      <c r="A81">
        <f>ROW(Source!A247)</f>
        <v>247</v>
      </c>
      <c r="B81">
        <v>41854110</v>
      </c>
      <c r="C81">
        <v>41854103</v>
      </c>
      <c r="D81">
        <v>40995195</v>
      </c>
      <c r="E81">
        <v>1</v>
      </c>
      <c r="F81">
        <v>1</v>
      </c>
      <c r="G81">
        <v>1</v>
      </c>
      <c r="H81">
        <v>3</v>
      </c>
      <c r="I81" t="s">
        <v>341</v>
      </c>
      <c r="J81" t="s">
        <v>342</v>
      </c>
      <c r="K81" t="s">
        <v>343</v>
      </c>
      <c r="L81">
        <v>1346</v>
      </c>
      <c r="N81">
        <v>1009</v>
      </c>
      <c r="O81" t="s">
        <v>344</v>
      </c>
      <c r="P81" t="s">
        <v>344</v>
      </c>
      <c r="Q81">
        <v>1</v>
      </c>
      <c r="X81">
        <v>7.0000000000000007E-2</v>
      </c>
      <c r="Y81">
        <v>155.63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7.0000000000000007E-2</v>
      </c>
      <c r="AH81">
        <v>2</v>
      </c>
      <c r="AI81">
        <v>41854110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>
      <c r="A82">
        <f>ROW(Source!A247)</f>
        <v>247</v>
      </c>
      <c r="B82">
        <v>41854111</v>
      </c>
      <c r="C82">
        <v>41854103</v>
      </c>
      <c r="D82">
        <v>40996264</v>
      </c>
      <c r="E82">
        <v>1</v>
      </c>
      <c r="F82">
        <v>1</v>
      </c>
      <c r="G82">
        <v>1</v>
      </c>
      <c r="H82">
        <v>3</v>
      </c>
      <c r="I82" t="s">
        <v>345</v>
      </c>
      <c r="J82" t="s">
        <v>346</v>
      </c>
      <c r="K82" t="s">
        <v>347</v>
      </c>
      <c r="L82">
        <v>1346</v>
      </c>
      <c r="N82">
        <v>1009</v>
      </c>
      <c r="O82" t="s">
        <v>344</v>
      </c>
      <c r="P82" t="s">
        <v>344</v>
      </c>
      <c r="Q82">
        <v>1</v>
      </c>
      <c r="X82">
        <v>4.9000000000000002E-2</v>
      </c>
      <c r="Y82">
        <v>174.93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6</v>
      </c>
      <c r="AG82">
        <v>4.9000000000000002E-2</v>
      </c>
      <c r="AH82">
        <v>2</v>
      </c>
      <c r="AI82">
        <v>41854111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>
      <c r="A83">
        <f>ROW(Source!A247)</f>
        <v>247</v>
      </c>
      <c r="B83">
        <v>41854112</v>
      </c>
      <c r="C83">
        <v>41854103</v>
      </c>
      <c r="D83">
        <v>40996385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1425</v>
      </c>
      <c r="N83">
        <v>1013</v>
      </c>
      <c r="O83" t="s">
        <v>44</v>
      </c>
      <c r="P83" t="s">
        <v>44</v>
      </c>
      <c r="Q83">
        <v>1</v>
      </c>
      <c r="X83">
        <v>1.4E-2</v>
      </c>
      <c r="Y83">
        <v>41.71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6</v>
      </c>
      <c r="AG83">
        <v>1.4E-2</v>
      </c>
      <c r="AH83">
        <v>2</v>
      </c>
      <c r="AI83">
        <v>41854112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>
      <c r="A84">
        <f>ROW(Source!A247)</f>
        <v>247</v>
      </c>
      <c r="B84">
        <v>41854113</v>
      </c>
      <c r="C84">
        <v>41854103</v>
      </c>
      <c r="D84">
        <v>40998128</v>
      </c>
      <c r="E84">
        <v>1</v>
      </c>
      <c r="F84">
        <v>1</v>
      </c>
      <c r="G84">
        <v>1</v>
      </c>
      <c r="H84">
        <v>3</v>
      </c>
      <c r="I84" t="s">
        <v>398</v>
      </c>
      <c r="J84" t="s">
        <v>399</v>
      </c>
      <c r="K84" t="s">
        <v>400</v>
      </c>
      <c r="L84">
        <v>1346</v>
      </c>
      <c r="N84">
        <v>1009</v>
      </c>
      <c r="O84" t="s">
        <v>344</v>
      </c>
      <c r="P84" t="s">
        <v>344</v>
      </c>
      <c r="Q84">
        <v>1</v>
      </c>
      <c r="X84">
        <v>1E-3</v>
      </c>
      <c r="Y84">
        <v>395.65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6</v>
      </c>
      <c r="AG84">
        <v>1E-3</v>
      </c>
      <c r="AH84">
        <v>2</v>
      </c>
      <c r="AI84">
        <v>41854113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>
      <c r="A85">
        <f>ROW(Source!A247)</f>
        <v>247</v>
      </c>
      <c r="B85">
        <v>41854114</v>
      </c>
      <c r="C85">
        <v>41854103</v>
      </c>
      <c r="D85">
        <v>41004163</v>
      </c>
      <c r="E85">
        <v>1</v>
      </c>
      <c r="F85">
        <v>1</v>
      </c>
      <c r="G85">
        <v>1</v>
      </c>
      <c r="H85">
        <v>3</v>
      </c>
      <c r="I85" t="s">
        <v>358</v>
      </c>
      <c r="J85" t="s">
        <v>359</v>
      </c>
      <c r="K85" t="s">
        <v>360</v>
      </c>
      <c r="L85">
        <v>1348</v>
      </c>
      <c r="N85">
        <v>1009</v>
      </c>
      <c r="O85" t="s">
        <v>37</v>
      </c>
      <c r="P85" t="s">
        <v>37</v>
      </c>
      <c r="Q85">
        <v>1000</v>
      </c>
      <c r="X85">
        <v>1E-3</v>
      </c>
      <c r="Y85">
        <v>105278.81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6</v>
      </c>
      <c r="AG85">
        <v>1E-3</v>
      </c>
      <c r="AH85">
        <v>2</v>
      </c>
      <c r="AI85">
        <v>41854114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>
      <c r="A86">
        <f>ROW(Source!A247)</f>
        <v>247</v>
      </c>
      <c r="B86">
        <v>41854115</v>
      </c>
      <c r="C86">
        <v>41854103</v>
      </c>
      <c r="D86">
        <v>41024880</v>
      </c>
      <c r="E86">
        <v>1</v>
      </c>
      <c r="F86">
        <v>1</v>
      </c>
      <c r="G86">
        <v>1</v>
      </c>
      <c r="H86">
        <v>3</v>
      </c>
      <c r="I86" t="s">
        <v>363</v>
      </c>
      <c r="J86" t="s">
        <v>364</v>
      </c>
      <c r="K86" t="s">
        <v>365</v>
      </c>
      <c r="L86">
        <v>1346</v>
      </c>
      <c r="N86">
        <v>1009</v>
      </c>
      <c r="O86" t="s">
        <v>344</v>
      </c>
      <c r="P86" t="s">
        <v>344</v>
      </c>
      <c r="Q86">
        <v>1</v>
      </c>
      <c r="X86">
        <v>3.5999999999999997E-2</v>
      </c>
      <c r="Y86">
        <v>79.88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6</v>
      </c>
      <c r="AG86">
        <v>3.5999999999999997E-2</v>
      </c>
      <c r="AH86">
        <v>2</v>
      </c>
      <c r="AI86">
        <v>41854115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>
      <c r="A87">
        <f>ROW(Source!A247)</f>
        <v>247</v>
      </c>
      <c r="B87">
        <v>41854116</v>
      </c>
      <c r="C87">
        <v>41854103</v>
      </c>
      <c r="D87">
        <v>41024940</v>
      </c>
      <c r="E87">
        <v>1</v>
      </c>
      <c r="F87">
        <v>1</v>
      </c>
      <c r="G87">
        <v>1</v>
      </c>
      <c r="H87">
        <v>3</v>
      </c>
      <c r="I87" t="s">
        <v>401</v>
      </c>
      <c r="J87" t="s">
        <v>402</v>
      </c>
      <c r="K87" t="s">
        <v>403</v>
      </c>
      <c r="L87">
        <v>1346</v>
      </c>
      <c r="N87">
        <v>1009</v>
      </c>
      <c r="O87" t="s">
        <v>344</v>
      </c>
      <c r="P87" t="s">
        <v>344</v>
      </c>
      <c r="Q87">
        <v>1</v>
      </c>
      <c r="X87">
        <v>6.0000000000000001E-3</v>
      </c>
      <c r="Y87">
        <v>135.32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6</v>
      </c>
      <c r="AG87">
        <v>6.0000000000000001E-3</v>
      </c>
      <c r="AH87">
        <v>2</v>
      </c>
      <c r="AI87">
        <v>41854116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>
      <c r="A88">
        <f>ROW(Source!A247)</f>
        <v>247</v>
      </c>
      <c r="B88">
        <v>41854117</v>
      </c>
      <c r="C88">
        <v>41854103</v>
      </c>
      <c r="D88">
        <v>41036706</v>
      </c>
      <c r="E88">
        <v>1</v>
      </c>
      <c r="F88">
        <v>1</v>
      </c>
      <c r="G88">
        <v>1</v>
      </c>
      <c r="H88">
        <v>3</v>
      </c>
      <c r="I88" t="s">
        <v>375</v>
      </c>
      <c r="J88" t="s">
        <v>376</v>
      </c>
      <c r="K88" t="s">
        <v>377</v>
      </c>
      <c r="L88">
        <v>1455</v>
      </c>
      <c r="N88">
        <v>1013</v>
      </c>
      <c r="O88" t="s">
        <v>378</v>
      </c>
      <c r="P88" t="s">
        <v>378</v>
      </c>
      <c r="Q88">
        <v>1</v>
      </c>
      <c r="X88">
        <v>0.1</v>
      </c>
      <c r="Y88">
        <v>944.69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6</v>
      </c>
      <c r="AG88">
        <v>0.1</v>
      </c>
      <c r="AH88">
        <v>2</v>
      </c>
      <c r="AI88">
        <v>41854117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>
      <c r="A89">
        <f>ROW(Source!A247)</f>
        <v>247</v>
      </c>
      <c r="B89">
        <v>41854118</v>
      </c>
      <c r="C89">
        <v>41854103</v>
      </c>
      <c r="D89">
        <v>40676108</v>
      </c>
      <c r="E89">
        <v>108</v>
      </c>
      <c r="F89">
        <v>1</v>
      </c>
      <c r="G89">
        <v>1</v>
      </c>
      <c r="H89">
        <v>3</v>
      </c>
      <c r="I89" t="s">
        <v>28</v>
      </c>
      <c r="J89" t="s">
        <v>6</v>
      </c>
      <c r="K89" t="s">
        <v>29</v>
      </c>
      <c r="L89">
        <v>3277935</v>
      </c>
      <c r="N89">
        <v>1013</v>
      </c>
      <c r="O89" t="s">
        <v>30</v>
      </c>
      <c r="P89" t="s">
        <v>30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6</v>
      </c>
      <c r="AG89">
        <v>2</v>
      </c>
      <c r="AH89">
        <v>2</v>
      </c>
      <c r="AI89">
        <v>41854118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>
      <c r="A90">
        <f>ROW(Source!A249)</f>
        <v>249</v>
      </c>
      <c r="B90">
        <v>41854123</v>
      </c>
      <c r="C90">
        <v>41854120</v>
      </c>
      <c r="D90">
        <v>40669960</v>
      </c>
      <c r="E90">
        <v>108</v>
      </c>
      <c r="F90">
        <v>1</v>
      </c>
      <c r="G90">
        <v>1</v>
      </c>
      <c r="H90">
        <v>1</v>
      </c>
      <c r="I90" t="s">
        <v>406</v>
      </c>
      <c r="J90" t="s">
        <v>6</v>
      </c>
      <c r="K90" t="s">
        <v>407</v>
      </c>
      <c r="L90">
        <v>1191</v>
      </c>
      <c r="N90">
        <v>1013</v>
      </c>
      <c r="O90" t="s">
        <v>321</v>
      </c>
      <c r="P90" t="s">
        <v>321</v>
      </c>
      <c r="Q90">
        <v>1</v>
      </c>
      <c r="X90">
        <v>15.2</v>
      </c>
      <c r="Y90">
        <v>0</v>
      </c>
      <c r="Z90">
        <v>0</v>
      </c>
      <c r="AA90">
        <v>0</v>
      </c>
      <c r="AB90">
        <v>289.54000000000002</v>
      </c>
      <c r="AC90">
        <v>0</v>
      </c>
      <c r="AD90">
        <v>1</v>
      </c>
      <c r="AE90">
        <v>1</v>
      </c>
      <c r="AF90" t="s">
        <v>6</v>
      </c>
      <c r="AG90">
        <v>15.2</v>
      </c>
      <c r="AH90">
        <v>2</v>
      </c>
      <c r="AI90">
        <v>41854123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>
      <c r="A91">
        <f>ROW(Source!A249)</f>
        <v>249</v>
      </c>
      <c r="B91">
        <v>41854124</v>
      </c>
      <c r="C91">
        <v>41854120</v>
      </c>
      <c r="D91">
        <v>40993972</v>
      </c>
      <c r="E91">
        <v>1</v>
      </c>
      <c r="F91">
        <v>1</v>
      </c>
      <c r="G91">
        <v>1</v>
      </c>
      <c r="H91">
        <v>3</v>
      </c>
      <c r="I91" t="s">
        <v>388</v>
      </c>
      <c r="J91" t="s">
        <v>389</v>
      </c>
      <c r="K91" t="s">
        <v>390</v>
      </c>
      <c r="L91">
        <v>1383</v>
      </c>
      <c r="N91">
        <v>1013</v>
      </c>
      <c r="O91" t="s">
        <v>391</v>
      </c>
      <c r="P91" t="s">
        <v>391</v>
      </c>
      <c r="Q91">
        <v>1</v>
      </c>
      <c r="X91">
        <v>5.3376000000000001</v>
      </c>
      <c r="Y91">
        <v>6.45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6</v>
      </c>
      <c r="AG91">
        <v>5.3376000000000001</v>
      </c>
      <c r="AH91">
        <v>2</v>
      </c>
      <c r="AI91">
        <v>41854124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>
      <c r="A92">
        <f>ROW(Source!A249)</f>
        <v>249</v>
      </c>
      <c r="B92">
        <v>41854125</v>
      </c>
      <c r="C92">
        <v>41854120</v>
      </c>
      <c r="D92">
        <v>40996448</v>
      </c>
      <c r="E92">
        <v>1</v>
      </c>
      <c r="F92">
        <v>1</v>
      </c>
      <c r="G92">
        <v>1</v>
      </c>
      <c r="H92">
        <v>3</v>
      </c>
      <c r="I92" t="s">
        <v>408</v>
      </c>
      <c r="J92" t="s">
        <v>409</v>
      </c>
      <c r="K92" t="s">
        <v>410</v>
      </c>
      <c r="L92">
        <v>1425</v>
      </c>
      <c r="N92">
        <v>1013</v>
      </c>
      <c r="O92" t="s">
        <v>44</v>
      </c>
      <c r="P92" t="s">
        <v>44</v>
      </c>
      <c r="Q92">
        <v>1</v>
      </c>
      <c r="X92">
        <v>1.75</v>
      </c>
      <c r="Y92">
        <v>52.34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6</v>
      </c>
      <c r="AG92">
        <v>1.75</v>
      </c>
      <c r="AH92">
        <v>2</v>
      </c>
      <c r="AI92">
        <v>41854125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>
      <c r="A93">
        <f>ROW(Source!A249)</f>
        <v>249</v>
      </c>
      <c r="B93">
        <v>41854126</v>
      </c>
      <c r="C93">
        <v>41854120</v>
      </c>
      <c r="D93">
        <v>40676108</v>
      </c>
      <c r="E93">
        <v>108</v>
      </c>
      <c r="F93">
        <v>1</v>
      </c>
      <c r="G93">
        <v>1</v>
      </c>
      <c r="H93">
        <v>3</v>
      </c>
      <c r="I93" t="s">
        <v>28</v>
      </c>
      <c r="J93" t="s">
        <v>6</v>
      </c>
      <c r="K93" t="s">
        <v>29</v>
      </c>
      <c r="L93">
        <v>3277935</v>
      </c>
      <c r="N93">
        <v>1013</v>
      </c>
      <c r="O93" t="s">
        <v>30</v>
      </c>
      <c r="P93" t="s">
        <v>30</v>
      </c>
      <c r="Q93">
        <v>1</v>
      </c>
      <c r="X93">
        <v>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 t="s">
        <v>6</v>
      </c>
      <c r="AG93">
        <v>2</v>
      </c>
      <c r="AH93">
        <v>2</v>
      </c>
      <c r="AI93">
        <v>41854126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>
      <c r="A94">
        <f>ROW(Source!A251)</f>
        <v>251</v>
      </c>
      <c r="B94">
        <v>41854129</v>
      </c>
      <c r="C94">
        <v>41854128</v>
      </c>
      <c r="D94">
        <v>40669968</v>
      </c>
      <c r="E94">
        <v>108</v>
      </c>
      <c r="F94">
        <v>1</v>
      </c>
      <c r="G94">
        <v>1</v>
      </c>
      <c r="H94">
        <v>1</v>
      </c>
      <c r="I94" t="s">
        <v>361</v>
      </c>
      <c r="J94" t="s">
        <v>6</v>
      </c>
      <c r="K94" t="s">
        <v>362</v>
      </c>
      <c r="L94">
        <v>1191</v>
      </c>
      <c r="N94">
        <v>1013</v>
      </c>
      <c r="O94" t="s">
        <v>321</v>
      </c>
      <c r="P94" t="s">
        <v>321</v>
      </c>
      <c r="Q94">
        <v>1</v>
      </c>
      <c r="X94">
        <v>9.92</v>
      </c>
      <c r="Y94">
        <v>0</v>
      </c>
      <c r="Z94">
        <v>0</v>
      </c>
      <c r="AA94">
        <v>0</v>
      </c>
      <c r="AB94">
        <v>296.32</v>
      </c>
      <c r="AC94">
        <v>0</v>
      </c>
      <c r="AD94">
        <v>1</v>
      </c>
      <c r="AE94">
        <v>1</v>
      </c>
      <c r="AF94" t="s">
        <v>6</v>
      </c>
      <c r="AG94">
        <v>9.92</v>
      </c>
      <c r="AH94">
        <v>2</v>
      </c>
      <c r="AI94">
        <v>41854129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>
      <c r="A95">
        <f>ROW(Source!A251)</f>
        <v>251</v>
      </c>
      <c r="B95">
        <v>41854130</v>
      </c>
      <c r="C95">
        <v>41854128</v>
      </c>
      <c r="D95">
        <v>40670210</v>
      </c>
      <c r="E95">
        <v>108</v>
      </c>
      <c r="F95">
        <v>1</v>
      </c>
      <c r="G95">
        <v>1</v>
      </c>
      <c r="H95">
        <v>1</v>
      </c>
      <c r="I95" t="s">
        <v>322</v>
      </c>
      <c r="J95" t="s">
        <v>6</v>
      </c>
      <c r="K95" t="s">
        <v>323</v>
      </c>
      <c r="L95">
        <v>1191</v>
      </c>
      <c r="N95">
        <v>1013</v>
      </c>
      <c r="O95" t="s">
        <v>321</v>
      </c>
      <c r="P95" t="s">
        <v>321</v>
      </c>
      <c r="Q95">
        <v>1</v>
      </c>
      <c r="X95">
        <v>0.4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2</v>
      </c>
      <c r="AF95" t="s">
        <v>6</v>
      </c>
      <c r="AG95">
        <v>0.4</v>
      </c>
      <c r="AH95">
        <v>2</v>
      </c>
      <c r="AI95">
        <v>41854130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>
      <c r="A96">
        <f>ROW(Source!A251)</f>
        <v>251</v>
      </c>
      <c r="B96">
        <v>41854131</v>
      </c>
      <c r="C96">
        <v>41854128</v>
      </c>
      <c r="D96">
        <v>40987978</v>
      </c>
      <c r="E96">
        <v>1</v>
      </c>
      <c r="F96">
        <v>1</v>
      </c>
      <c r="G96">
        <v>1</v>
      </c>
      <c r="H96">
        <v>2</v>
      </c>
      <c r="I96" t="s">
        <v>324</v>
      </c>
      <c r="J96" t="s">
        <v>325</v>
      </c>
      <c r="K96" t="s">
        <v>326</v>
      </c>
      <c r="L96">
        <v>1368</v>
      </c>
      <c r="N96">
        <v>1011</v>
      </c>
      <c r="O96" t="s">
        <v>327</v>
      </c>
      <c r="P96" t="s">
        <v>327</v>
      </c>
      <c r="Q96">
        <v>1</v>
      </c>
      <c r="X96">
        <v>0.2</v>
      </c>
      <c r="Y96">
        <v>0</v>
      </c>
      <c r="Z96">
        <v>1442.85</v>
      </c>
      <c r="AA96">
        <v>407.16</v>
      </c>
      <c r="AB96">
        <v>0</v>
      </c>
      <c r="AC96">
        <v>0</v>
      </c>
      <c r="AD96">
        <v>1</v>
      </c>
      <c r="AE96">
        <v>0</v>
      </c>
      <c r="AF96" t="s">
        <v>6</v>
      </c>
      <c r="AG96">
        <v>0.2</v>
      </c>
      <c r="AH96">
        <v>2</v>
      </c>
      <c r="AI96">
        <v>41854131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>
      <c r="A97">
        <f>ROW(Source!A251)</f>
        <v>251</v>
      </c>
      <c r="B97">
        <v>41854132</v>
      </c>
      <c r="C97">
        <v>41854128</v>
      </c>
      <c r="D97">
        <v>40988121</v>
      </c>
      <c r="E97">
        <v>1</v>
      </c>
      <c r="F97">
        <v>1</v>
      </c>
      <c r="G97">
        <v>1</v>
      </c>
      <c r="H97">
        <v>2</v>
      </c>
      <c r="I97" t="s">
        <v>411</v>
      </c>
      <c r="J97" t="s">
        <v>412</v>
      </c>
      <c r="K97" t="s">
        <v>413</v>
      </c>
      <c r="L97">
        <v>1368</v>
      </c>
      <c r="N97">
        <v>1011</v>
      </c>
      <c r="O97" t="s">
        <v>327</v>
      </c>
      <c r="P97" t="s">
        <v>327</v>
      </c>
      <c r="Q97">
        <v>1</v>
      </c>
      <c r="X97">
        <v>2.4</v>
      </c>
      <c r="Y97">
        <v>0</v>
      </c>
      <c r="Z97">
        <v>1.75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6</v>
      </c>
      <c r="AG97">
        <v>2.4</v>
      </c>
      <c r="AH97">
        <v>2</v>
      </c>
      <c r="AI97">
        <v>41854132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>
      <c r="A98">
        <f>ROW(Source!A251)</f>
        <v>251</v>
      </c>
      <c r="B98">
        <v>41854133</v>
      </c>
      <c r="C98">
        <v>41854128</v>
      </c>
      <c r="D98">
        <v>40988171</v>
      </c>
      <c r="E98">
        <v>1</v>
      </c>
      <c r="F98">
        <v>1</v>
      </c>
      <c r="G98">
        <v>1</v>
      </c>
      <c r="H98">
        <v>2</v>
      </c>
      <c r="I98" t="s">
        <v>414</v>
      </c>
      <c r="J98" t="s">
        <v>415</v>
      </c>
      <c r="K98" t="s">
        <v>416</v>
      </c>
      <c r="L98">
        <v>1368</v>
      </c>
      <c r="N98">
        <v>1011</v>
      </c>
      <c r="O98" t="s">
        <v>327</v>
      </c>
      <c r="P98" t="s">
        <v>327</v>
      </c>
      <c r="Q98">
        <v>1</v>
      </c>
      <c r="X98">
        <v>2.4</v>
      </c>
      <c r="Y98">
        <v>0</v>
      </c>
      <c r="Z98">
        <v>8.84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6</v>
      </c>
      <c r="AG98">
        <v>2.4</v>
      </c>
      <c r="AH98">
        <v>2</v>
      </c>
      <c r="AI98">
        <v>41854133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>
      <c r="A99">
        <f>ROW(Source!A251)</f>
        <v>251</v>
      </c>
      <c r="B99">
        <v>41854134</v>
      </c>
      <c r="C99">
        <v>41854128</v>
      </c>
      <c r="D99">
        <v>40989217</v>
      </c>
      <c r="E99">
        <v>1</v>
      </c>
      <c r="F99">
        <v>1</v>
      </c>
      <c r="G99">
        <v>1</v>
      </c>
      <c r="H99">
        <v>2</v>
      </c>
      <c r="I99" t="s">
        <v>329</v>
      </c>
      <c r="J99" t="s">
        <v>330</v>
      </c>
      <c r="K99" t="s">
        <v>331</v>
      </c>
      <c r="L99">
        <v>1368</v>
      </c>
      <c r="N99">
        <v>1011</v>
      </c>
      <c r="O99" t="s">
        <v>327</v>
      </c>
      <c r="P99" t="s">
        <v>327</v>
      </c>
      <c r="Q99">
        <v>1</v>
      </c>
      <c r="X99">
        <v>0.2</v>
      </c>
      <c r="Y99">
        <v>0</v>
      </c>
      <c r="Z99">
        <v>557.94000000000005</v>
      </c>
      <c r="AA99">
        <v>303.11</v>
      </c>
      <c r="AB99">
        <v>0</v>
      </c>
      <c r="AC99">
        <v>0</v>
      </c>
      <c r="AD99">
        <v>1</v>
      </c>
      <c r="AE99">
        <v>0</v>
      </c>
      <c r="AF99" t="s">
        <v>6</v>
      </c>
      <c r="AG99">
        <v>0.2</v>
      </c>
      <c r="AH99">
        <v>2</v>
      </c>
      <c r="AI99">
        <v>41854134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>
      <c r="A100">
        <f>ROW(Source!A251)</f>
        <v>251</v>
      </c>
      <c r="B100">
        <v>41854135</v>
      </c>
      <c r="C100">
        <v>41854128</v>
      </c>
      <c r="D100">
        <v>40994286</v>
      </c>
      <c r="E100">
        <v>1</v>
      </c>
      <c r="F100">
        <v>1</v>
      </c>
      <c r="G100">
        <v>1</v>
      </c>
      <c r="H100">
        <v>3</v>
      </c>
      <c r="I100" t="s">
        <v>417</v>
      </c>
      <c r="J100" t="s">
        <v>418</v>
      </c>
      <c r="K100" t="s">
        <v>419</v>
      </c>
      <c r="L100">
        <v>1302</v>
      </c>
      <c r="N100">
        <v>1003</v>
      </c>
      <c r="O100" t="s">
        <v>420</v>
      </c>
      <c r="P100" t="s">
        <v>420</v>
      </c>
      <c r="Q100">
        <v>10</v>
      </c>
      <c r="X100">
        <v>9.6000000000000002E-2</v>
      </c>
      <c r="Y100">
        <v>37.71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6</v>
      </c>
      <c r="AG100">
        <v>9.6000000000000002E-2</v>
      </c>
      <c r="AH100">
        <v>2</v>
      </c>
      <c r="AI100">
        <v>41854135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>
      <c r="A101">
        <f>ROW(Source!A251)</f>
        <v>251</v>
      </c>
      <c r="B101">
        <v>41854136</v>
      </c>
      <c r="C101">
        <v>41854128</v>
      </c>
      <c r="D101">
        <v>41010390</v>
      </c>
      <c r="E101">
        <v>1</v>
      </c>
      <c r="F101">
        <v>1</v>
      </c>
      <c r="G101">
        <v>1</v>
      </c>
      <c r="H101">
        <v>3</v>
      </c>
      <c r="I101" t="s">
        <v>421</v>
      </c>
      <c r="J101" t="s">
        <v>422</v>
      </c>
      <c r="K101" t="s">
        <v>423</v>
      </c>
      <c r="L101">
        <v>1346</v>
      </c>
      <c r="N101">
        <v>1009</v>
      </c>
      <c r="O101" t="s">
        <v>344</v>
      </c>
      <c r="P101" t="s">
        <v>344</v>
      </c>
      <c r="Q101">
        <v>1</v>
      </c>
      <c r="X101">
        <v>0.5</v>
      </c>
      <c r="Y101">
        <v>931.11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6</v>
      </c>
      <c r="AG101">
        <v>0.5</v>
      </c>
      <c r="AH101">
        <v>2</v>
      </c>
      <c r="AI101">
        <v>41854136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>
      <c r="A102">
        <f>ROW(Source!A251)</f>
        <v>251</v>
      </c>
      <c r="B102">
        <v>41854137</v>
      </c>
      <c r="C102">
        <v>41854128</v>
      </c>
      <c r="D102">
        <v>41024923</v>
      </c>
      <c r="E102">
        <v>1</v>
      </c>
      <c r="F102">
        <v>1</v>
      </c>
      <c r="G102">
        <v>1</v>
      </c>
      <c r="H102">
        <v>3</v>
      </c>
      <c r="I102" t="s">
        <v>424</v>
      </c>
      <c r="J102" t="s">
        <v>425</v>
      </c>
      <c r="K102" t="s">
        <v>426</v>
      </c>
      <c r="L102">
        <v>1348</v>
      </c>
      <c r="N102">
        <v>1009</v>
      </c>
      <c r="O102" t="s">
        <v>37</v>
      </c>
      <c r="P102" t="s">
        <v>37</v>
      </c>
      <c r="Q102">
        <v>1000</v>
      </c>
      <c r="X102">
        <v>6.0000000000000002E-5</v>
      </c>
      <c r="Y102">
        <v>82698.14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6</v>
      </c>
      <c r="AG102">
        <v>6.0000000000000002E-5</v>
      </c>
      <c r="AH102">
        <v>2</v>
      </c>
      <c r="AI102">
        <v>41854137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>
      <c r="A103">
        <f>ROW(Source!A251)</f>
        <v>251</v>
      </c>
      <c r="B103">
        <v>41854138</v>
      </c>
      <c r="C103">
        <v>41854128</v>
      </c>
      <c r="D103">
        <v>40676108</v>
      </c>
      <c r="E103">
        <v>108</v>
      </c>
      <c r="F103">
        <v>1</v>
      </c>
      <c r="G103">
        <v>1</v>
      </c>
      <c r="H103">
        <v>3</v>
      </c>
      <c r="I103" t="s">
        <v>28</v>
      </c>
      <c r="J103" t="s">
        <v>6</v>
      </c>
      <c r="K103" t="s">
        <v>29</v>
      </c>
      <c r="L103">
        <v>3277935</v>
      </c>
      <c r="N103">
        <v>1013</v>
      </c>
      <c r="O103" t="s">
        <v>30</v>
      </c>
      <c r="P103" t="s">
        <v>30</v>
      </c>
      <c r="Q103">
        <v>1</v>
      </c>
      <c r="X103">
        <v>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6</v>
      </c>
      <c r="AG103">
        <v>2</v>
      </c>
      <c r="AH103">
        <v>2</v>
      </c>
      <c r="AI103">
        <v>41854138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>
      <c r="A104">
        <f>ROW(Source!A253)</f>
        <v>253</v>
      </c>
      <c r="B104">
        <v>41854141</v>
      </c>
      <c r="C104">
        <v>41854140</v>
      </c>
      <c r="D104">
        <v>40669968</v>
      </c>
      <c r="E104">
        <v>108</v>
      </c>
      <c r="F104">
        <v>1</v>
      </c>
      <c r="G104">
        <v>1</v>
      </c>
      <c r="H104">
        <v>1</v>
      </c>
      <c r="I104" t="s">
        <v>361</v>
      </c>
      <c r="J104" t="s">
        <v>6</v>
      </c>
      <c r="K104" t="s">
        <v>362</v>
      </c>
      <c r="L104">
        <v>1191</v>
      </c>
      <c r="N104">
        <v>1013</v>
      </c>
      <c r="O104" t="s">
        <v>321</v>
      </c>
      <c r="P104" t="s">
        <v>321</v>
      </c>
      <c r="Q104">
        <v>1</v>
      </c>
      <c r="X104">
        <v>14.4</v>
      </c>
      <c r="Y104">
        <v>0</v>
      </c>
      <c r="Z104">
        <v>0</v>
      </c>
      <c r="AA104">
        <v>0</v>
      </c>
      <c r="AB104">
        <v>296.32</v>
      </c>
      <c r="AC104">
        <v>0</v>
      </c>
      <c r="AD104">
        <v>1</v>
      </c>
      <c r="AE104">
        <v>1</v>
      </c>
      <c r="AF104" t="s">
        <v>6</v>
      </c>
      <c r="AG104">
        <v>14.4</v>
      </c>
      <c r="AH104">
        <v>2</v>
      </c>
      <c r="AI104">
        <v>41854141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>
      <c r="A105">
        <f>ROW(Source!A253)</f>
        <v>253</v>
      </c>
      <c r="B105">
        <v>41854142</v>
      </c>
      <c r="C105">
        <v>41854140</v>
      </c>
      <c r="D105">
        <v>40670210</v>
      </c>
      <c r="E105">
        <v>108</v>
      </c>
      <c r="F105">
        <v>1</v>
      </c>
      <c r="G105">
        <v>1</v>
      </c>
      <c r="H105">
        <v>1</v>
      </c>
      <c r="I105" t="s">
        <v>322</v>
      </c>
      <c r="J105" t="s">
        <v>6</v>
      </c>
      <c r="K105" t="s">
        <v>323</v>
      </c>
      <c r="L105">
        <v>1191</v>
      </c>
      <c r="N105">
        <v>1013</v>
      </c>
      <c r="O105" t="s">
        <v>321</v>
      </c>
      <c r="P105" t="s">
        <v>321</v>
      </c>
      <c r="Q105">
        <v>1</v>
      </c>
      <c r="X105">
        <v>0.4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2</v>
      </c>
      <c r="AF105" t="s">
        <v>6</v>
      </c>
      <c r="AG105">
        <v>0.4</v>
      </c>
      <c r="AH105">
        <v>2</v>
      </c>
      <c r="AI105">
        <v>41854142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>
      <c r="A106">
        <f>ROW(Source!A253)</f>
        <v>253</v>
      </c>
      <c r="B106">
        <v>41854143</v>
      </c>
      <c r="C106">
        <v>41854140</v>
      </c>
      <c r="D106">
        <v>40987978</v>
      </c>
      <c r="E106">
        <v>1</v>
      </c>
      <c r="F106">
        <v>1</v>
      </c>
      <c r="G106">
        <v>1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327</v>
      </c>
      <c r="P106" t="s">
        <v>327</v>
      </c>
      <c r="Q106">
        <v>1</v>
      </c>
      <c r="X106">
        <v>0.2</v>
      </c>
      <c r="Y106">
        <v>0</v>
      </c>
      <c r="Z106">
        <v>1442.85</v>
      </c>
      <c r="AA106">
        <v>407.16</v>
      </c>
      <c r="AB106">
        <v>0</v>
      </c>
      <c r="AC106">
        <v>0</v>
      </c>
      <c r="AD106">
        <v>1</v>
      </c>
      <c r="AE106">
        <v>0</v>
      </c>
      <c r="AF106" t="s">
        <v>6</v>
      </c>
      <c r="AG106">
        <v>0.2</v>
      </c>
      <c r="AH106">
        <v>2</v>
      </c>
      <c r="AI106">
        <v>41854143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>
      <c r="A107">
        <f>ROW(Source!A253)</f>
        <v>253</v>
      </c>
      <c r="B107">
        <v>41854144</v>
      </c>
      <c r="C107">
        <v>41854140</v>
      </c>
      <c r="D107">
        <v>40989217</v>
      </c>
      <c r="E107">
        <v>1</v>
      </c>
      <c r="F107">
        <v>1</v>
      </c>
      <c r="G107">
        <v>1</v>
      </c>
      <c r="H107">
        <v>2</v>
      </c>
      <c r="I107" t="s">
        <v>329</v>
      </c>
      <c r="J107" t="s">
        <v>330</v>
      </c>
      <c r="K107" t="s">
        <v>331</v>
      </c>
      <c r="L107">
        <v>1368</v>
      </c>
      <c r="N107">
        <v>1011</v>
      </c>
      <c r="O107" t="s">
        <v>327</v>
      </c>
      <c r="P107" t="s">
        <v>327</v>
      </c>
      <c r="Q107">
        <v>1</v>
      </c>
      <c r="X107">
        <v>0.2</v>
      </c>
      <c r="Y107">
        <v>0</v>
      </c>
      <c r="Z107">
        <v>557.94000000000005</v>
      </c>
      <c r="AA107">
        <v>303.11</v>
      </c>
      <c r="AB107">
        <v>0</v>
      </c>
      <c r="AC107">
        <v>0</v>
      </c>
      <c r="AD107">
        <v>1</v>
      </c>
      <c r="AE107">
        <v>0</v>
      </c>
      <c r="AF107" t="s">
        <v>6</v>
      </c>
      <c r="AG107">
        <v>0.2</v>
      </c>
      <c r="AH107">
        <v>2</v>
      </c>
      <c r="AI107">
        <v>41854144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>
      <c r="A108">
        <f>ROW(Source!A253)</f>
        <v>253</v>
      </c>
      <c r="B108">
        <v>41854145</v>
      </c>
      <c r="C108">
        <v>41854140</v>
      </c>
      <c r="D108">
        <v>40989496</v>
      </c>
      <c r="E108">
        <v>1</v>
      </c>
      <c r="F108">
        <v>1</v>
      </c>
      <c r="G108">
        <v>1</v>
      </c>
      <c r="H108">
        <v>2</v>
      </c>
      <c r="I108" t="s">
        <v>338</v>
      </c>
      <c r="J108" t="s">
        <v>339</v>
      </c>
      <c r="K108" t="s">
        <v>340</v>
      </c>
      <c r="L108">
        <v>1368</v>
      </c>
      <c r="N108">
        <v>1011</v>
      </c>
      <c r="O108" t="s">
        <v>327</v>
      </c>
      <c r="P108" t="s">
        <v>327</v>
      </c>
      <c r="Q108">
        <v>1</v>
      </c>
      <c r="X108">
        <v>2.7</v>
      </c>
      <c r="Y108">
        <v>0</v>
      </c>
      <c r="Z108">
        <v>17.78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6</v>
      </c>
      <c r="AG108">
        <v>2.7</v>
      </c>
      <c r="AH108">
        <v>2</v>
      </c>
      <c r="AI108">
        <v>41854145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>
      <c r="A109">
        <f>ROW(Source!A253)</f>
        <v>253</v>
      </c>
      <c r="B109">
        <v>41854146</v>
      </c>
      <c r="C109">
        <v>41854140</v>
      </c>
      <c r="D109">
        <v>40995195</v>
      </c>
      <c r="E109">
        <v>1</v>
      </c>
      <c r="F109">
        <v>1</v>
      </c>
      <c r="G109">
        <v>1</v>
      </c>
      <c r="H109">
        <v>3</v>
      </c>
      <c r="I109" t="s">
        <v>341</v>
      </c>
      <c r="J109" t="s">
        <v>342</v>
      </c>
      <c r="K109" t="s">
        <v>343</v>
      </c>
      <c r="L109">
        <v>1346</v>
      </c>
      <c r="N109">
        <v>1009</v>
      </c>
      <c r="O109" t="s">
        <v>344</v>
      </c>
      <c r="P109" t="s">
        <v>344</v>
      </c>
      <c r="Q109">
        <v>1</v>
      </c>
      <c r="X109">
        <v>0.9</v>
      </c>
      <c r="Y109">
        <v>155.63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6</v>
      </c>
      <c r="AG109">
        <v>0.9</v>
      </c>
      <c r="AH109">
        <v>2</v>
      </c>
      <c r="AI109">
        <v>41854146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>
      <c r="A110">
        <f>ROW(Source!A253)</f>
        <v>253</v>
      </c>
      <c r="B110">
        <v>41854147</v>
      </c>
      <c r="C110">
        <v>41854140</v>
      </c>
      <c r="D110">
        <v>41024791</v>
      </c>
      <c r="E110">
        <v>1</v>
      </c>
      <c r="F110">
        <v>1</v>
      </c>
      <c r="G110">
        <v>1</v>
      </c>
      <c r="H110">
        <v>3</v>
      </c>
      <c r="I110" t="s">
        <v>427</v>
      </c>
      <c r="J110" t="s">
        <v>428</v>
      </c>
      <c r="K110" t="s">
        <v>429</v>
      </c>
      <c r="L110">
        <v>1346</v>
      </c>
      <c r="N110">
        <v>1009</v>
      </c>
      <c r="O110" t="s">
        <v>344</v>
      </c>
      <c r="P110" t="s">
        <v>344</v>
      </c>
      <c r="Q110">
        <v>1</v>
      </c>
      <c r="X110">
        <v>3.7</v>
      </c>
      <c r="Y110">
        <v>911.56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</v>
      </c>
      <c r="AG110">
        <v>3.7</v>
      </c>
      <c r="AH110">
        <v>2</v>
      </c>
      <c r="AI110">
        <v>41854147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>
      <c r="A111">
        <f>ROW(Source!A253)</f>
        <v>253</v>
      </c>
      <c r="B111">
        <v>41854148</v>
      </c>
      <c r="C111">
        <v>41854140</v>
      </c>
      <c r="D111">
        <v>40676108</v>
      </c>
      <c r="E111">
        <v>108</v>
      </c>
      <c r="F111">
        <v>1</v>
      </c>
      <c r="G111">
        <v>1</v>
      </c>
      <c r="H111">
        <v>3</v>
      </c>
      <c r="I111" t="s">
        <v>28</v>
      </c>
      <c r="J111" t="s">
        <v>6</v>
      </c>
      <c r="K111" t="s">
        <v>29</v>
      </c>
      <c r="L111">
        <v>3277935</v>
      </c>
      <c r="N111">
        <v>1013</v>
      </c>
      <c r="O111" t="s">
        <v>30</v>
      </c>
      <c r="P111" t="s">
        <v>30</v>
      </c>
      <c r="Q111">
        <v>1</v>
      </c>
      <c r="X111">
        <v>2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 t="s">
        <v>6</v>
      </c>
      <c r="AG111">
        <v>2</v>
      </c>
      <c r="AH111">
        <v>2</v>
      </c>
      <c r="AI111">
        <v>41854148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>
      <c r="A112">
        <f>ROW(Source!A358)</f>
        <v>358</v>
      </c>
      <c r="B112">
        <v>41854300</v>
      </c>
      <c r="C112">
        <v>41854299</v>
      </c>
      <c r="D112">
        <v>40670169</v>
      </c>
      <c r="E112">
        <v>108</v>
      </c>
      <c r="F112">
        <v>1</v>
      </c>
      <c r="G112">
        <v>1</v>
      </c>
      <c r="H112">
        <v>1</v>
      </c>
      <c r="I112" t="s">
        <v>430</v>
      </c>
      <c r="J112" t="s">
        <v>6</v>
      </c>
      <c r="K112" t="s">
        <v>431</v>
      </c>
      <c r="L112">
        <v>1369</v>
      </c>
      <c r="N112">
        <v>1013</v>
      </c>
      <c r="O112" t="s">
        <v>368</v>
      </c>
      <c r="P112" t="s">
        <v>368</v>
      </c>
      <c r="Q112">
        <v>1</v>
      </c>
      <c r="X112">
        <v>1.44</v>
      </c>
      <c r="Y112">
        <v>0</v>
      </c>
      <c r="Z112">
        <v>0</v>
      </c>
      <c r="AA112">
        <v>0</v>
      </c>
      <c r="AB112">
        <v>303.11</v>
      </c>
      <c r="AC112">
        <v>0</v>
      </c>
      <c r="AD112">
        <v>1</v>
      </c>
      <c r="AE112">
        <v>1</v>
      </c>
      <c r="AF112" t="s">
        <v>6</v>
      </c>
      <c r="AG112">
        <v>1.44</v>
      </c>
      <c r="AH112">
        <v>2</v>
      </c>
      <c r="AI112">
        <v>41854300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>
      <c r="A113">
        <f>ROW(Source!A358)</f>
        <v>358</v>
      </c>
      <c r="B113">
        <v>41854301</v>
      </c>
      <c r="C113">
        <v>41854299</v>
      </c>
      <c r="D113">
        <v>40670190</v>
      </c>
      <c r="E113">
        <v>108</v>
      </c>
      <c r="F113">
        <v>1</v>
      </c>
      <c r="G113">
        <v>1</v>
      </c>
      <c r="H113">
        <v>1</v>
      </c>
      <c r="I113" t="s">
        <v>432</v>
      </c>
      <c r="J113" t="s">
        <v>6</v>
      </c>
      <c r="K113" t="s">
        <v>433</v>
      </c>
      <c r="L113">
        <v>1369</v>
      </c>
      <c r="N113">
        <v>1013</v>
      </c>
      <c r="O113" t="s">
        <v>368</v>
      </c>
      <c r="P113" t="s">
        <v>368</v>
      </c>
      <c r="Q113">
        <v>1</v>
      </c>
      <c r="X113">
        <v>1.44</v>
      </c>
      <c r="Y113">
        <v>0</v>
      </c>
      <c r="Z113">
        <v>0</v>
      </c>
      <c r="AA113">
        <v>0</v>
      </c>
      <c r="AB113">
        <v>289.54000000000002</v>
      </c>
      <c r="AC113">
        <v>0</v>
      </c>
      <c r="AD113">
        <v>1</v>
      </c>
      <c r="AE113">
        <v>1</v>
      </c>
      <c r="AF113" t="s">
        <v>6</v>
      </c>
      <c r="AG113">
        <v>1.44</v>
      </c>
      <c r="AH113">
        <v>2</v>
      </c>
      <c r="AI113">
        <v>41854301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>
      <c r="A114">
        <f>ROW(Source!A358)</f>
        <v>358</v>
      </c>
      <c r="B114">
        <v>41854302</v>
      </c>
      <c r="C114">
        <v>41854299</v>
      </c>
      <c r="D114">
        <v>40670200</v>
      </c>
      <c r="E114">
        <v>108</v>
      </c>
      <c r="F114">
        <v>1</v>
      </c>
      <c r="G114">
        <v>1</v>
      </c>
      <c r="H114">
        <v>1</v>
      </c>
      <c r="I114" t="s">
        <v>369</v>
      </c>
      <c r="J114" t="s">
        <v>6</v>
      </c>
      <c r="K114" t="s">
        <v>370</v>
      </c>
      <c r="L114">
        <v>1369</v>
      </c>
      <c r="N114">
        <v>1013</v>
      </c>
      <c r="O114" t="s">
        <v>368</v>
      </c>
      <c r="P114" t="s">
        <v>368</v>
      </c>
      <c r="Q114">
        <v>1</v>
      </c>
      <c r="X114">
        <v>4.32</v>
      </c>
      <c r="Y114">
        <v>0</v>
      </c>
      <c r="Z114">
        <v>0</v>
      </c>
      <c r="AA114">
        <v>0</v>
      </c>
      <c r="AB114">
        <v>443.35</v>
      </c>
      <c r="AC114">
        <v>0</v>
      </c>
      <c r="AD114">
        <v>1</v>
      </c>
      <c r="AE114">
        <v>1</v>
      </c>
      <c r="AF114" t="s">
        <v>6</v>
      </c>
      <c r="AG114">
        <v>4.32</v>
      </c>
      <c r="AH114">
        <v>2</v>
      </c>
      <c r="AI114">
        <v>41854302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>
      <c r="A115">
        <f>ROW(Source!A359)</f>
        <v>359</v>
      </c>
      <c r="B115">
        <v>41854304</v>
      </c>
      <c r="C115">
        <v>41854303</v>
      </c>
      <c r="D115">
        <v>40670175</v>
      </c>
      <c r="E115">
        <v>108</v>
      </c>
      <c r="F115">
        <v>1</v>
      </c>
      <c r="G115">
        <v>1</v>
      </c>
      <c r="H115">
        <v>1</v>
      </c>
      <c r="I115" t="s">
        <v>434</v>
      </c>
      <c r="J115" t="s">
        <v>6</v>
      </c>
      <c r="K115" t="s">
        <v>435</v>
      </c>
      <c r="L115">
        <v>1369</v>
      </c>
      <c r="N115">
        <v>1013</v>
      </c>
      <c r="O115" t="s">
        <v>368</v>
      </c>
      <c r="P115" t="s">
        <v>368</v>
      </c>
      <c r="Q115">
        <v>1</v>
      </c>
      <c r="X115">
        <v>0.5</v>
      </c>
      <c r="Y115">
        <v>0</v>
      </c>
      <c r="Z115">
        <v>0</v>
      </c>
      <c r="AA115">
        <v>0</v>
      </c>
      <c r="AB115">
        <v>407.16</v>
      </c>
      <c r="AC115">
        <v>0</v>
      </c>
      <c r="AD115">
        <v>1</v>
      </c>
      <c r="AE115">
        <v>1</v>
      </c>
      <c r="AF115" t="s">
        <v>6</v>
      </c>
      <c r="AG115">
        <v>0.5</v>
      </c>
      <c r="AH115">
        <v>2</v>
      </c>
      <c r="AI115">
        <v>41854304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>
      <c r="A116">
        <f>ROW(Source!A359)</f>
        <v>359</v>
      </c>
      <c r="B116">
        <v>41854305</v>
      </c>
      <c r="C116">
        <v>41854303</v>
      </c>
      <c r="D116">
        <v>40670204</v>
      </c>
      <c r="E116">
        <v>108</v>
      </c>
      <c r="F116">
        <v>1</v>
      </c>
      <c r="G116">
        <v>1</v>
      </c>
      <c r="H116">
        <v>1</v>
      </c>
      <c r="I116" t="s">
        <v>436</v>
      </c>
      <c r="J116" t="s">
        <v>6</v>
      </c>
      <c r="K116" t="s">
        <v>437</v>
      </c>
      <c r="L116">
        <v>1369</v>
      </c>
      <c r="N116">
        <v>1013</v>
      </c>
      <c r="O116" t="s">
        <v>368</v>
      </c>
      <c r="P116" t="s">
        <v>368</v>
      </c>
      <c r="Q116">
        <v>1</v>
      </c>
      <c r="X116">
        <v>0.5</v>
      </c>
      <c r="Y116">
        <v>0</v>
      </c>
      <c r="Z116">
        <v>0</v>
      </c>
      <c r="AA116">
        <v>0</v>
      </c>
      <c r="AB116">
        <v>398.11</v>
      </c>
      <c r="AC116">
        <v>0</v>
      </c>
      <c r="AD116">
        <v>1</v>
      </c>
      <c r="AE116">
        <v>1</v>
      </c>
      <c r="AF116" t="s">
        <v>6</v>
      </c>
      <c r="AG116">
        <v>0.5</v>
      </c>
      <c r="AH116">
        <v>2</v>
      </c>
      <c r="AI116">
        <v>41854305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>
      <c r="A117">
        <f>ROW(Source!A360)</f>
        <v>360</v>
      </c>
      <c r="B117">
        <v>41854307</v>
      </c>
      <c r="C117">
        <v>41854306</v>
      </c>
      <c r="D117">
        <v>40670175</v>
      </c>
      <c r="E117">
        <v>108</v>
      </c>
      <c r="F117">
        <v>1</v>
      </c>
      <c r="G117">
        <v>1</v>
      </c>
      <c r="H117">
        <v>1</v>
      </c>
      <c r="I117" t="s">
        <v>434</v>
      </c>
      <c r="J117" t="s">
        <v>6</v>
      </c>
      <c r="K117" t="s">
        <v>435</v>
      </c>
      <c r="L117">
        <v>1369</v>
      </c>
      <c r="N117">
        <v>1013</v>
      </c>
      <c r="O117" t="s">
        <v>368</v>
      </c>
      <c r="P117" t="s">
        <v>368</v>
      </c>
      <c r="Q117">
        <v>1</v>
      </c>
      <c r="X117">
        <v>0.41</v>
      </c>
      <c r="Y117">
        <v>0</v>
      </c>
      <c r="Z117">
        <v>0</v>
      </c>
      <c r="AA117">
        <v>0</v>
      </c>
      <c r="AB117">
        <v>407.16</v>
      </c>
      <c r="AC117">
        <v>0</v>
      </c>
      <c r="AD117">
        <v>1</v>
      </c>
      <c r="AE117">
        <v>1</v>
      </c>
      <c r="AF117" t="s">
        <v>6</v>
      </c>
      <c r="AG117">
        <v>0.41</v>
      </c>
      <c r="AH117">
        <v>2</v>
      </c>
      <c r="AI117">
        <v>41854307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>
      <c r="A118">
        <f>ROW(Source!A360)</f>
        <v>360</v>
      </c>
      <c r="B118">
        <v>41854308</v>
      </c>
      <c r="C118">
        <v>41854306</v>
      </c>
      <c r="D118">
        <v>40670204</v>
      </c>
      <c r="E118">
        <v>108</v>
      </c>
      <c r="F118">
        <v>1</v>
      </c>
      <c r="G118">
        <v>1</v>
      </c>
      <c r="H118">
        <v>1</v>
      </c>
      <c r="I118" t="s">
        <v>436</v>
      </c>
      <c r="J118" t="s">
        <v>6</v>
      </c>
      <c r="K118" t="s">
        <v>437</v>
      </c>
      <c r="L118">
        <v>1369</v>
      </c>
      <c r="N118">
        <v>1013</v>
      </c>
      <c r="O118" t="s">
        <v>368</v>
      </c>
      <c r="P118" t="s">
        <v>368</v>
      </c>
      <c r="Q118">
        <v>1</v>
      </c>
      <c r="X118">
        <v>0.41</v>
      </c>
      <c r="Y118">
        <v>0</v>
      </c>
      <c r="Z118">
        <v>0</v>
      </c>
      <c r="AA118">
        <v>0</v>
      </c>
      <c r="AB118">
        <v>398.11</v>
      </c>
      <c r="AC118">
        <v>0</v>
      </c>
      <c r="AD118">
        <v>1</v>
      </c>
      <c r="AE118">
        <v>1</v>
      </c>
      <c r="AF118" t="s">
        <v>6</v>
      </c>
      <c r="AG118">
        <v>0.41</v>
      </c>
      <c r="AH118">
        <v>2</v>
      </c>
      <c r="AI118">
        <v>41854308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>
      <c r="A119">
        <f>ROW(Source!A361)</f>
        <v>361</v>
      </c>
      <c r="B119">
        <v>41854310</v>
      </c>
      <c r="C119">
        <v>41854309</v>
      </c>
      <c r="D119">
        <v>40670175</v>
      </c>
      <c r="E119">
        <v>108</v>
      </c>
      <c r="F119">
        <v>1</v>
      </c>
      <c r="G119">
        <v>1</v>
      </c>
      <c r="H119">
        <v>1</v>
      </c>
      <c r="I119" t="s">
        <v>434</v>
      </c>
      <c r="J119" t="s">
        <v>6</v>
      </c>
      <c r="K119" t="s">
        <v>435</v>
      </c>
      <c r="L119">
        <v>1369</v>
      </c>
      <c r="N119">
        <v>1013</v>
      </c>
      <c r="O119" t="s">
        <v>368</v>
      </c>
      <c r="P119" t="s">
        <v>368</v>
      </c>
      <c r="Q119">
        <v>1</v>
      </c>
      <c r="X119">
        <v>0.81</v>
      </c>
      <c r="Y119">
        <v>0</v>
      </c>
      <c r="Z119">
        <v>0</v>
      </c>
      <c r="AA119">
        <v>0</v>
      </c>
      <c r="AB119">
        <v>407.16</v>
      </c>
      <c r="AC119">
        <v>0</v>
      </c>
      <c r="AD119">
        <v>1</v>
      </c>
      <c r="AE119">
        <v>1</v>
      </c>
      <c r="AF119" t="s">
        <v>6</v>
      </c>
      <c r="AG119">
        <v>0.81</v>
      </c>
      <c r="AH119">
        <v>2</v>
      </c>
      <c r="AI119">
        <v>41854310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>
      <c r="A120">
        <f>ROW(Source!A361)</f>
        <v>361</v>
      </c>
      <c r="B120">
        <v>41854311</v>
      </c>
      <c r="C120">
        <v>41854309</v>
      </c>
      <c r="D120">
        <v>40670204</v>
      </c>
      <c r="E120">
        <v>108</v>
      </c>
      <c r="F120">
        <v>1</v>
      </c>
      <c r="G120">
        <v>1</v>
      </c>
      <c r="H120">
        <v>1</v>
      </c>
      <c r="I120" t="s">
        <v>436</v>
      </c>
      <c r="J120" t="s">
        <v>6</v>
      </c>
      <c r="K120" t="s">
        <v>437</v>
      </c>
      <c r="L120">
        <v>1369</v>
      </c>
      <c r="N120">
        <v>1013</v>
      </c>
      <c r="O120" t="s">
        <v>368</v>
      </c>
      <c r="P120" t="s">
        <v>368</v>
      </c>
      <c r="Q120">
        <v>1</v>
      </c>
      <c r="X120">
        <v>0.81</v>
      </c>
      <c r="Y120">
        <v>0</v>
      </c>
      <c r="Z120">
        <v>0</v>
      </c>
      <c r="AA120">
        <v>0</v>
      </c>
      <c r="AB120">
        <v>398.11</v>
      </c>
      <c r="AC120">
        <v>0</v>
      </c>
      <c r="AD120">
        <v>1</v>
      </c>
      <c r="AE120">
        <v>1</v>
      </c>
      <c r="AF120" t="s">
        <v>6</v>
      </c>
      <c r="AG120">
        <v>0.81</v>
      </c>
      <c r="AH120">
        <v>2</v>
      </c>
      <c r="AI120">
        <v>41854311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по ФСНБ 421+557прРИМ</vt:lpstr>
      <vt:lpstr>Акт КС-2 по ФСНБ 421+557пр</vt:lpstr>
      <vt:lpstr>Макет форма-3</vt:lpstr>
      <vt:lpstr>Source</vt:lpstr>
      <vt:lpstr>SourceObSm</vt:lpstr>
      <vt:lpstr>SmtRes</vt:lpstr>
      <vt:lpstr>EtalonRes</vt:lpstr>
      <vt:lpstr>SrcKA</vt:lpstr>
      <vt:lpstr>'Акт КС-2 по ФСНБ 421+557пр'!Заголовки_для_печати</vt:lpstr>
      <vt:lpstr>'Смета по ФСНБ 421+557прРИМ'!Заголовки_для_печати</vt:lpstr>
      <vt:lpstr>'Акт КС-2 по ФСНБ 421+557пр'!Область_печати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TazikovRR</cp:lastModifiedBy>
  <dcterms:created xsi:type="dcterms:W3CDTF">2024-02-14T05:10:34Z</dcterms:created>
  <dcterms:modified xsi:type="dcterms:W3CDTF">2024-10-15T05:17:42Z</dcterms:modified>
</cp:coreProperties>
</file>